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st\Desktop\PF\WEB\Excel_Daten\"/>
    </mc:Choice>
  </mc:AlternateContent>
  <bookViews>
    <workbookView xWindow="0" yWindow="0" windowWidth="17592" windowHeight="8844" firstSheet="3" activeTab="3"/>
  </bookViews>
  <sheets>
    <sheet name="Aktueller Stand" sheetId="1" r:id="rId1"/>
    <sheet name="Umstellung Elektroautoantrieb" sheetId="2" r:id="rId2"/>
    <sheet name="Strombedarf Ladestationen Autob" sheetId="6" r:id="rId3"/>
    <sheet name="Umstellung Wasserstoff" sheetId="3" r:id="rId4"/>
    <sheet name="Fakten und Zahlen" sheetId="4" r:id="rId5"/>
    <sheet name="Energiegehalt Brennstoffe" sheetId="5" r:id="rId6"/>
    <sheet name="Erneuerbare Energie" sheetId="8" r:id="rId7"/>
    <sheet name="CO Freie Energieversorgung" sheetId="9" r:id="rId8"/>
    <sheet name="Tabelle3" sheetId="7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9" l="1"/>
  <c r="E14" i="9"/>
  <c r="E6" i="9"/>
  <c r="E5" i="9"/>
  <c r="C13" i="9"/>
  <c r="E13" i="9" s="1"/>
  <c r="C12" i="9"/>
  <c r="E12" i="9" s="1"/>
  <c r="C11" i="9"/>
  <c r="E11" i="9" s="1"/>
  <c r="C10" i="9"/>
  <c r="E10" i="9" s="1"/>
  <c r="E4" i="9"/>
  <c r="G3" i="8" l="1"/>
  <c r="G44" i="5" l="1"/>
  <c r="C8" i="8" l="1"/>
  <c r="C7" i="8"/>
  <c r="C6" i="8"/>
  <c r="G4" i="8" l="1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9" i="8"/>
  <c r="G50" i="8"/>
  <c r="G51" i="8"/>
  <c r="G52" i="8"/>
  <c r="G53" i="8"/>
  <c r="G54" i="8"/>
  <c r="G55" i="8"/>
  <c r="G56" i="8"/>
  <c r="J5" i="8" s="1"/>
  <c r="G27" i="8"/>
  <c r="D56" i="8"/>
  <c r="K72" i="4" l="1"/>
  <c r="K73" i="4"/>
  <c r="J73" i="4"/>
  <c r="N73" i="4" s="1"/>
  <c r="J71" i="4"/>
  <c r="N71" i="4" s="1"/>
  <c r="J70" i="4"/>
  <c r="N70" i="4" s="1"/>
  <c r="H1" i="3"/>
  <c r="N75" i="4" l="1"/>
  <c r="J72" i="4"/>
  <c r="L72" i="4"/>
  <c r="L73" i="4"/>
  <c r="C115" i="4"/>
  <c r="J109" i="4"/>
  <c r="I53" i="4"/>
  <c r="F53" i="6" l="1"/>
  <c r="F47" i="6"/>
  <c r="F46" i="6"/>
  <c r="E43" i="6"/>
  <c r="E42" i="6"/>
  <c r="C43" i="6"/>
  <c r="C42" i="6"/>
  <c r="F37" i="6"/>
  <c r="F22" i="6"/>
  <c r="F38" i="6" s="1"/>
  <c r="D11" i="6"/>
  <c r="E11" i="6" s="1"/>
  <c r="E29" i="6" s="1"/>
  <c r="E34" i="6" s="1"/>
  <c r="D29" i="6" l="1"/>
  <c r="D34" i="6" s="1"/>
  <c r="F49" i="6"/>
  <c r="K82" i="4"/>
  <c r="G129" i="4"/>
  <c r="J106" i="4" l="1"/>
  <c r="L107" i="4"/>
  <c r="J107" i="4"/>
  <c r="J108" i="4" s="1"/>
  <c r="L105" i="4" l="1"/>
  <c r="H121" i="4" l="1"/>
  <c r="H124" i="4" s="1"/>
  <c r="D104" i="4" l="1"/>
  <c r="C10" i="2"/>
  <c r="D106" i="4"/>
  <c r="D108" i="4" l="1"/>
  <c r="M89" i="4" s="1"/>
  <c r="M13" i="2"/>
  <c r="K88" i="4"/>
  <c r="M88" i="4" l="1"/>
  <c r="K87" i="4"/>
  <c r="P87" i="4" s="1"/>
  <c r="C95" i="4"/>
  <c r="C94" i="4"/>
  <c r="C92" i="4"/>
  <c r="C91" i="4"/>
  <c r="C90" i="4"/>
  <c r="C89" i="4"/>
  <c r="E89" i="4" l="1"/>
  <c r="E91" i="4"/>
  <c r="E92" i="4"/>
  <c r="M87" i="4"/>
  <c r="C97" i="4"/>
  <c r="K89" i="4"/>
  <c r="K92" i="4" s="1"/>
  <c r="K93" i="4" s="1"/>
  <c r="M90" i="4"/>
  <c r="M91" i="4" s="1"/>
  <c r="G83" i="4"/>
  <c r="E83" i="4" s="1"/>
  <c r="E93" i="4" l="1"/>
  <c r="E88" i="4"/>
  <c r="E95" i="4"/>
  <c r="E94" i="4"/>
  <c r="K90" i="4"/>
  <c r="E90" i="4"/>
  <c r="B58" i="4"/>
  <c r="A61" i="4"/>
  <c r="A60" i="4"/>
  <c r="B60" i="4" s="1"/>
  <c r="E56" i="4"/>
  <c r="E57" i="4"/>
  <c r="E58" i="4"/>
  <c r="E55" i="4"/>
  <c r="P88" i="4" l="1"/>
  <c r="P90" i="4"/>
  <c r="G43" i="4" l="1"/>
  <c r="B43" i="4" l="1"/>
  <c r="I41" i="4"/>
  <c r="K41" i="4" s="1"/>
  <c r="I40" i="4"/>
  <c r="K40" i="4" s="1"/>
  <c r="B29" i="4" l="1"/>
  <c r="B36" i="4" s="1"/>
  <c r="B17" i="4"/>
  <c r="B16" i="4"/>
  <c r="B15" i="4"/>
  <c r="B14" i="4"/>
  <c r="B13" i="4"/>
  <c r="B12" i="4"/>
  <c r="B11" i="4"/>
  <c r="B10" i="4"/>
  <c r="B9" i="4"/>
  <c r="B19" i="4" s="1"/>
  <c r="I43" i="4" s="1"/>
  <c r="K43" i="4" s="1"/>
  <c r="K45" i="4" s="1"/>
  <c r="M96" i="4" s="1"/>
  <c r="B8" i="4"/>
  <c r="B7" i="4"/>
  <c r="L27" i="3" l="1"/>
  <c r="I27" i="3"/>
  <c r="L26" i="3"/>
  <c r="K26" i="3"/>
  <c r="E20" i="3" l="1"/>
  <c r="F20" i="3" s="1"/>
  <c r="G20" i="3" s="1"/>
  <c r="H20" i="3" s="1"/>
  <c r="O20" i="3"/>
  <c r="Q20" i="3" s="1"/>
  <c r="P20" i="3"/>
  <c r="R20" i="3"/>
  <c r="I20" i="3" l="1"/>
  <c r="J20" i="3" s="1"/>
  <c r="K20" i="3" s="1"/>
  <c r="S20" i="3"/>
  <c r="E23" i="2"/>
  <c r="F23" i="2" s="1"/>
  <c r="G23" i="2" s="1"/>
  <c r="K13" i="2"/>
  <c r="K23" i="2" l="1"/>
  <c r="L23" i="2" s="1"/>
  <c r="M23" i="2" s="1"/>
  <c r="I23" i="2"/>
  <c r="J23" i="2" s="1"/>
  <c r="L13" i="2"/>
  <c r="Q16" i="3"/>
  <c r="P19" i="3"/>
  <c r="O19" i="3"/>
  <c r="P18" i="3"/>
  <c r="O18" i="3"/>
  <c r="Q18" i="3" s="1"/>
  <c r="P17" i="3"/>
  <c r="O17" i="3"/>
  <c r="P16" i="3"/>
  <c r="O16" i="3"/>
  <c r="P15" i="3"/>
  <c r="O15" i="3"/>
  <c r="P14" i="3"/>
  <c r="O14" i="3"/>
  <c r="Q14" i="3" s="1"/>
  <c r="P13" i="3"/>
  <c r="O13" i="3"/>
  <c r="P12" i="3"/>
  <c r="O12" i="3"/>
  <c r="Q12" i="3" s="1"/>
  <c r="P11" i="3"/>
  <c r="O11" i="3"/>
  <c r="P10" i="3"/>
  <c r="O10" i="3"/>
  <c r="Q10" i="3" s="1"/>
  <c r="Q11" i="3" l="1"/>
  <c r="Q13" i="3"/>
  <c r="Q15" i="3"/>
  <c r="Q17" i="3"/>
  <c r="Q19" i="3"/>
  <c r="F27" i="3"/>
  <c r="F29" i="3" s="1"/>
  <c r="F26" i="3"/>
  <c r="R12" i="3" l="1"/>
  <c r="R16" i="3"/>
  <c r="R10" i="3"/>
  <c r="R14" i="3"/>
  <c r="R18" i="3"/>
  <c r="R11" i="3"/>
  <c r="R15" i="3"/>
  <c r="R19" i="3"/>
  <c r="R13" i="3"/>
  <c r="R17" i="3"/>
  <c r="E11" i="3"/>
  <c r="F11" i="3" s="1"/>
  <c r="G11" i="3" s="1"/>
  <c r="H11" i="3" s="1"/>
  <c r="E12" i="3"/>
  <c r="F12" i="3" s="1"/>
  <c r="G12" i="3" s="1"/>
  <c r="H12" i="3" s="1"/>
  <c r="E15" i="3"/>
  <c r="F15" i="3" s="1"/>
  <c r="G15" i="3" s="1"/>
  <c r="H15" i="3" s="1"/>
  <c r="E16" i="3"/>
  <c r="F16" i="3" s="1"/>
  <c r="G16" i="3" s="1"/>
  <c r="H16" i="3" s="1"/>
  <c r="E19" i="3"/>
  <c r="F19" i="3" s="1"/>
  <c r="G19" i="3" s="1"/>
  <c r="H19" i="3" s="1"/>
  <c r="E10" i="3"/>
  <c r="F10" i="3" s="1"/>
  <c r="G10" i="3" s="1"/>
  <c r="H10" i="3" s="1"/>
  <c r="B11" i="3"/>
  <c r="B12" i="3" s="1"/>
  <c r="B13" i="3" s="1"/>
  <c r="B14" i="3" s="1"/>
  <c r="B15" i="3" s="1"/>
  <c r="B16" i="3" s="1"/>
  <c r="B17" i="3" s="1"/>
  <c r="B18" i="3" s="1"/>
  <c r="B19" i="3" s="1"/>
  <c r="C3" i="3"/>
  <c r="A27" i="2"/>
  <c r="C4" i="3" l="1"/>
  <c r="D20" i="3"/>
  <c r="A28" i="2"/>
  <c r="E18" i="3"/>
  <c r="F18" i="3" s="1"/>
  <c r="G18" i="3" s="1"/>
  <c r="H18" i="3" s="1"/>
  <c r="S18" i="3" s="1"/>
  <c r="E14" i="3"/>
  <c r="F14" i="3" s="1"/>
  <c r="G14" i="3" s="1"/>
  <c r="H14" i="3" s="1"/>
  <c r="S14" i="3" s="1"/>
  <c r="E17" i="3"/>
  <c r="F17" i="3" s="1"/>
  <c r="G17" i="3" s="1"/>
  <c r="H17" i="3" s="1"/>
  <c r="I17" i="3" s="1"/>
  <c r="J17" i="3" s="1"/>
  <c r="K17" i="3" s="1"/>
  <c r="E13" i="3"/>
  <c r="F13" i="3" s="1"/>
  <c r="G13" i="3" s="1"/>
  <c r="H13" i="3" s="1"/>
  <c r="S13" i="3" s="1"/>
  <c r="S15" i="3"/>
  <c r="I15" i="3"/>
  <c r="J15" i="3" s="1"/>
  <c r="K15" i="3" s="1"/>
  <c r="S19" i="3"/>
  <c r="I19" i="3"/>
  <c r="J19" i="3" s="1"/>
  <c r="K19" i="3" s="1"/>
  <c r="S11" i="3"/>
  <c r="I11" i="3"/>
  <c r="J11" i="3" s="1"/>
  <c r="K11" i="3" s="1"/>
  <c r="I10" i="3"/>
  <c r="J10" i="3" s="1"/>
  <c r="S10" i="3"/>
  <c r="I16" i="3"/>
  <c r="J16" i="3" s="1"/>
  <c r="K16" i="3" s="1"/>
  <c r="S16" i="3"/>
  <c r="I12" i="3"/>
  <c r="J12" i="3" s="1"/>
  <c r="K12" i="3" s="1"/>
  <c r="S12" i="3"/>
  <c r="I18" i="3"/>
  <c r="J18" i="3" s="1"/>
  <c r="K18" i="3" s="1"/>
  <c r="S17" i="3"/>
  <c r="D12" i="3"/>
  <c r="D10" i="3"/>
  <c r="D13" i="3"/>
  <c r="D17" i="3"/>
  <c r="D14" i="3"/>
  <c r="D18" i="3"/>
  <c r="D11" i="3"/>
  <c r="D15" i="3"/>
  <c r="D19" i="3"/>
  <c r="D16" i="3"/>
  <c r="C2" i="2"/>
  <c r="C18" i="1"/>
  <c r="C5" i="2"/>
  <c r="H23" i="2" s="1"/>
  <c r="E11" i="1"/>
  <c r="E13" i="2"/>
  <c r="F13" i="2" s="1"/>
  <c r="G13" i="2" s="1"/>
  <c r="H13" i="2" s="1"/>
  <c r="B14" i="2"/>
  <c r="E14" i="2" s="1"/>
  <c r="I14" i="2" s="1"/>
  <c r="J14" i="2" s="1"/>
  <c r="I13" i="3" l="1"/>
  <c r="J13" i="3" s="1"/>
  <c r="K13" i="3" s="1"/>
  <c r="I14" i="3"/>
  <c r="J14" i="3" s="1"/>
  <c r="K14" i="3" s="1"/>
  <c r="C3" i="2"/>
  <c r="E26" i="2" s="1"/>
  <c r="D25" i="2"/>
  <c r="D26" i="2"/>
  <c r="D23" i="2"/>
  <c r="I13" i="2"/>
  <c r="J13" i="2" s="1"/>
  <c r="B15" i="2"/>
  <c r="K14" i="2"/>
  <c r="L14" i="2" s="1"/>
  <c r="M14" i="2" s="1"/>
  <c r="D27" i="2"/>
  <c r="A29" i="2"/>
  <c r="D28" i="2"/>
  <c r="F14" i="2"/>
  <c r="G14" i="2" s="1"/>
  <c r="H14" i="2" s="1"/>
  <c r="D13" i="2"/>
  <c r="D15" i="2"/>
  <c r="D14" i="2"/>
  <c r="E25" i="2" l="1"/>
  <c r="E3" i="2"/>
  <c r="B16" i="2"/>
  <c r="K15" i="2"/>
  <c r="L15" i="2" s="1"/>
  <c r="M15" i="2" s="1"/>
  <c r="E15" i="2"/>
  <c r="A30" i="2"/>
  <c r="D29" i="2"/>
  <c r="F26" i="2"/>
  <c r="G26" i="2" s="1"/>
  <c r="H26" i="2" s="1"/>
  <c r="I26" i="2"/>
  <c r="J26" i="2" s="1"/>
  <c r="E27" i="2"/>
  <c r="I15" i="2" l="1"/>
  <c r="J15" i="2" s="1"/>
  <c r="F15" i="2"/>
  <c r="G15" i="2" s="1"/>
  <c r="H15" i="2" s="1"/>
  <c r="B17" i="2"/>
  <c r="K16" i="2"/>
  <c r="L16" i="2" s="1"/>
  <c r="M16" i="2" s="1"/>
  <c r="E16" i="2"/>
  <c r="D16" i="2"/>
  <c r="A31" i="2"/>
  <c r="D30" i="2"/>
  <c r="F27" i="2"/>
  <c r="G27" i="2" s="1"/>
  <c r="H27" i="2" s="1"/>
  <c r="I27" i="2"/>
  <c r="J27" i="2" s="1"/>
  <c r="E28" i="2"/>
  <c r="B18" i="2" l="1"/>
  <c r="K17" i="2"/>
  <c r="L17" i="2" s="1"/>
  <c r="M17" i="2" s="1"/>
  <c r="E17" i="2"/>
  <c r="D17" i="2"/>
  <c r="I16" i="2"/>
  <c r="J16" i="2" s="1"/>
  <c r="F16" i="2"/>
  <c r="G16" i="2" s="1"/>
  <c r="H16" i="2" s="1"/>
  <c r="A32" i="2"/>
  <c r="D31" i="2"/>
  <c r="F28" i="2"/>
  <c r="G28" i="2" s="1"/>
  <c r="H28" i="2" s="1"/>
  <c r="I28" i="2"/>
  <c r="J28" i="2" s="1"/>
  <c r="E29" i="2"/>
  <c r="C46" i="1"/>
  <c r="C59" i="1"/>
  <c r="C55" i="1"/>
  <c r="C43" i="1"/>
  <c r="C42" i="1"/>
  <c r="C38" i="1"/>
  <c r="C50" i="1" s="1"/>
  <c r="C54" i="1" s="1"/>
  <c r="C58" i="1" s="1"/>
  <c r="C36" i="1"/>
  <c r="C39" i="1" s="1"/>
  <c r="C47" i="1" s="1"/>
  <c r="C51" i="1" s="1"/>
  <c r="C35" i="1"/>
  <c r="C9" i="1"/>
  <c r="I17" i="2" l="1"/>
  <c r="J17" i="2" s="1"/>
  <c r="F17" i="2"/>
  <c r="G17" i="2" s="1"/>
  <c r="H17" i="2" s="1"/>
  <c r="B19" i="2"/>
  <c r="K18" i="2"/>
  <c r="L18" i="2" s="1"/>
  <c r="M18" i="2" s="1"/>
  <c r="E18" i="2"/>
  <c r="D18" i="2"/>
  <c r="A33" i="2"/>
  <c r="D32" i="2"/>
  <c r="F29" i="2"/>
  <c r="G29" i="2" s="1"/>
  <c r="H29" i="2" s="1"/>
  <c r="I29" i="2"/>
  <c r="J29" i="2" s="1"/>
  <c r="E30" i="2"/>
  <c r="B20" i="2" l="1"/>
  <c r="K19" i="2"/>
  <c r="L19" i="2" s="1"/>
  <c r="M19" i="2" s="1"/>
  <c r="E19" i="2"/>
  <c r="D19" i="2"/>
  <c r="F18" i="2"/>
  <c r="G18" i="2" s="1"/>
  <c r="H18" i="2" s="1"/>
  <c r="I18" i="2"/>
  <c r="J18" i="2" s="1"/>
  <c r="A34" i="2"/>
  <c r="D33" i="2"/>
  <c r="I30" i="2"/>
  <c r="J30" i="2" s="1"/>
  <c r="F30" i="2"/>
  <c r="G30" i="2" s="1"/>
  <c r="H30" i="2" s="1"/>
  <c r="E31" i="2"/>
  <c r="I19" i="2" l="1"/>
  <c r="J19" i="2" s="1"/>
  <c r="F19" i="2"/>
  <c r="G19" i="2" s="1"/>
  <c r="H19" i="2" s="1"/>
  <c r="B21" i="2"/>
  <c r="K20" i="2"/>
  <c r="L20" i="2" s="1"/>
  <c r="M20" i="2" s="1"/>
  <c r="E20" i="2"/>
  <c r="D20" i="2"/>
  <c r="A35" i="2"/>
  <c r="D34" i="2"/>
  <c r="F31" i="2"/>
  <c r="G31" i="2" s="1"/>
  <c r="H31" i="2" s="1"/>
  <c r="I31" i="2"/>
  <c r="J31" i="2" s="1"/>
  <c r="E32" i="2"/>
  <c r="B22" i="2" l="1"/>
  <c r="K21" i="2"/>
  <c r="L21" i="2" s="1"/>
  <c r="M21" i="2" s="1"/>
  <c r="E21" i="2"/>
  <c r="D21" i="2"/>
  <c r="I20" i="2"/>
  <c r="J20" i="2" s="1"/>
  <c r="F20" i="2"/>
  <c r="G20" i="2" s="1"/>
  <c r="H20" i="2" s="1"/>
  <c r="A36" i="2"/>
  <c r="D35" i="2"/>
  <c r="F32" i="2"/>
  <c r="G32" i="2" s="1"/>
  <c r="H32" i="2" s="1"/>
  <c r="I32" i="2"/>
  <c r="J32" i="2" s="1"/>
  <c r="E33" i="2"/>
  <c r="I21" i="2" l="1"/>
  <c r="J21" i="2" s="1"/>
  <c r="F21" i="2"/>
  <c r="G21" i="2" s="1"/>
  <c r="H21" i="2" s="1"/>
  <c r="K22" i="2"/>
  <c r="L22" i="2" s="1"/>
  <c r="M22" i="2" s="1"/>
  <c r="E22" i="2"/>
  <c r="D22" i="2"/>
  <c r="A37" i="2"/>
  <c r="D36" i="2"/>
  <c r="I33" i="2"/>
  <c r="J33" i="2" s="1"/>
  <c r="F33" i="2"/>
  <c r="G33" i="2" s="1"/>
  <c r="H33" i="2" s="1"/>
  <c r="E34" i="2"/>
  <c r="I22" i="2" l="1"/>
  <c r="J22" i="2" s="1"/>
  <c r="F22" i="2"/>
  <c r="G22" i="2" s="1"/>
  <c r="H22" i="2" s="1"/>
  <c r="A38" i="2"/>
  <c r="D37" i="2"/>
  <c r="I34" i="2"/>
  <c r="J34" i="2" s="1"/>
  <c r="F34" i="2"/>
  <c r="G34" i="2" s="1"/>
  <c r="H34" i="2" s="1"/>
  <c r="E35" i="2"/>
  <c r="A39" i="2" l="1"/>
  <c r="D38" i="2"/>
  <c r="F35" i="2"/>
  <c r="G35" i="2" s="1"/>
  <c r="H35" i="2" s="1"/>
  <c r="I35" i="2"/>
  <c r="J35" i="2" s="1"/>
  <c r="E36" i="2"/>
  <c r="A40" i="2" l="1"/>
  <c r="D39" i="2"/>
  <c r="F36" i="2"/>
  <c r="G36" i="2" s="1"/>
  <c r="H36" i="2" s="1"/>
  <c r="I36" i="2"/>
  <c r="J36" i="2" s="1"/>
  <c r="E37" i="2"/>
  <c r="A41" i="2" l="1"/>
  <c r="D40" i="2"/>
  <c r="I37" i="2"/>
  <c r="J37" i="2" s="1"/>
  <c r="F37" i="2"/>
  <c r="G37" i="2" s="1"/>
  <c r="H37" i="2" s="1"/>
  <c r="E38" i="2"/>
  <c r="A42" i="2" l="1"/>
  <c r="D41" i="2"/>
  <c r="I38" i="2"/>
  <c r="J38" i="2" s="1"/>
  <c r="F38" i="2"/>
  <c r="G38" i="2" s="1"/>
  <c r="H38" i="2" s="1"/>
  <c r="E39" i="2"/>
  <c r="A43" i="2" l="1"/>
  <c r="D42" i="2"/>
  <c r="F39" i="2"/>
  <c r="G39" i="2" s="1"/>
  <c r="H39" i="2" s="1"/>
  <c r="I39" i="2"/>
  <c r="J39" i="2" s="1"/>
  <c r="E40" i="2"/>
  <c r="A44" i="2" l="1"/>
  <c r="D43" i="2"/>
  <c r="F40" i="2"/>
  <c r="G40" i="2" s="1"/>
  <c r="H40" i="2" s="1"/>
  <c r="I40" i="2"/>
  <c r="J40" i="2" s="1"/>
  <c r="E41" i="2"/>
  <c r="A45" i="2" l="1"/>
  <c r="D44" i="2"/>
  <c r="F41" i="2"/>
  <c r="G41" i="2" s="1"/>
  <c r="H41" i="2" s="1"/>
  <c r="I41" i="2"/>
  <c r="J41" i="2" s="1"/>
  <c r="E42" i="2"/>
  <c r="A46" i="2" l="1"/>
  <c r="D45" i="2"/>
  <c r="I42" i="2"/>
  <c r="J42" i="2" s="1"/>
  <c r="F42" i="2"/>
  <c r="G42" i="2" s="1"/>
  <c r="H42" i="2" s="1"/>
  <c r="E43" i="2"/>
  <c r="A47" i="2" l="1"/>
  <c r="D46" i="2"/>
  <c r="F43" i="2"/>
  <c r="G43" i="2" s="1"/>
  <c r="H43" i="2" s="1"/>
  <c r="I43" i="2"/>
  <c r="J43" i="2" s="1"/>
  <c r="E44" i="2"/>
  <c r="A48" i="2" l="1"/>
  <c r="D47" i="2"/>
  <c r="F44" i="2"/>
  <c r="G44" i="2" s="1"/>
  <c r="H44" i="2" s="1"/>
  <c r="I44" i="2"/>
  <c r="J44" i="2" s="1"/>
  <c r="E45" i="2"/>
  <c r="A49" i="2" l="1"/>
  <c r="D48" i="2"/>
  <c r="I45" i="2"/>
  <c r="J45" i="2" s="1"/>
  <c r="F45" i="2"/>
  <c r="G45" i="2" s="1"/>
  <c r="H45" i="2" s="1"/>
  <c r="E46" i="2"/>
  <c r="A50" i="2" l="1"/>
  <c r="D49" i="2"/>
  <c r="I46" i="2"/>
  <c r="J46" i="2" s="1"/>
  <c r="F46" i="2"/>
  <c r="G46" i="2" s="1"/>
  <c r="H46" i="2" s="1"/>
  <c r="E47" i="2"/>
  <c r="A51" i="2" l="1"/>
  <c r="D50" i="2"/>
  <c r="F47" i="2"/>
  <c r="G47" i="2" s="1"/>
  <c r="H47" i="2" s="1"/>
  <c r="I47" i="2"/>
  <c r="J47" i="2" s="1"/>
  <c r="E48" i="2"/>
  <c r="A52" i="2" l="1"/>
  <c r="D51" i="2"/>
  <c r="F48" i="2"/>
  <c r="G48" i="2" s="1"/>
  <c r="H48" i="2" s="1"/>
  <c r="I48" i="2"/>
  <c r="J48" i="2" s="1"/>
  <c r="E49" i="2"/>
  <c r="A53" i="2" l="1"/>
  <c r="D52" i="2"/>
  <c r="E52" i="2"/>
  <c r="I49" i="2"/>
  <c r="J49" i="2" s="1"/>
  <c r="F49" i="2"/>
  <c r="G49" i="2" s="1"/>
  <c r="H49" i="2" s="1"/>
  <c r="E51" i="2"/>
  <c r="E50" i="2"/>
  <c r="I52" i="2" l="1"/>
  <c r="J52" i="2" s="1"/>
  <c r="F52" i="2"/>
  <c r="G52" i="2" s="1"/>
  <c r="H52" i="2" s="1"/>
  <c r="A54" i="2"/>
  <c r="D53" i="2"/>
  <c r="E53" i="2"/>
  <c r="I50" i="2"/>
  <c r="J50" i="2" s="1"/>
  <c r="F50" i="2"/>
  <c r="G50" i="2" s="1"/>
  <c r="H50" i="2" s="1"/>
  <c r="F51" i="2"/>
  <c r="G51" i="2" s="1"/>
  <c r="H51" i="2" s="1"/>
  <c r="I51" i="2"/>
  <c r="J51" i="2" s="1"/>
  <c r="A55" i="2" l="1"/>
  <c r="D54" i="2"/>
  <c r="E54" i="2"/>
  <c r="I53" i="2"/>
  <c r="J53" i="2" s="1"/>
  <c r="F53" i="2"/>
  <c r="G53" i="2" s="1"/>
  <c r="H53" i="2" s="1"/>
  <c r="F54" i="2" l="1"/>
  <c r="G54" i="2" s="1"/>
  <c r="H54" i="2" s="1"/>
  <c r="I54" i="2"/>
  <c r="J54" i="2" s="1"/>
  <c r="A56" i="2"/>
  <c r="D55" i="2"/>
  <c r="E55" i="2"/>
  <c r="A57" i="2" l="1"/>
  <c r="D56" i="2"/>
  <c r="E56" i="2"/>
  <c r="F55" i="2"/>
  <c r="G55" i="2" s="1"/>
  <c r="H55" i="2" s="1"/>
  <c r="I55" i="2"/>
  <c r="J55" i="2" s="1"/>
  <c r="F56" i="2" l="1"/>
  <c r="G56" i="2" s="1"/>
  <c r="H56" i="2" s="1"/>
  <c r="I56" i="2"/>
  <c r="J56" i="2" s="1"/>
  <c r="A58" i="2"/>
  <c r="D57" i="2"/>
  <c r="E57" i="2"/>
  <c r="A59" i="2" l="1"/>
  <c r="D58" i="2"/>
  <c r="E58" i="2"/>
  <c r="F57" i="2"/>
  <c r="G57" i="2" s="1"/>
  <c r="H57" i="2" s="1"/>
  <c r="I57" i="2"/>
  <c r="J57" i="2" s="1"/>
  <c r="I58" i="2" l="1"/>
  <c r="J58" i="2" s="1"/>
  <c r="F58" i="2"/>
  <c r="G58" i="2" s="1"/>
  <c r="H58" i="2" s="1"/>
  <c r="A60" i="2"/>
  <c r="D59" i="2"/>
  <c r="E59" i="2"/>
  <c r="A61" i="2" l="1"/>
  <c r="D60" i="2"/>
  <c r="E60" i="2"/>
  <c r="F59" i="2"/>
  <c r="G59" i="2" s="1"/>
  <c r="H59" i="2" s="1"/>
  <c r="I59" i="2"/>
  <c r="J59" i="2" s="1"/>
  <c r="F60" i="2" l="1"/>
  <c r="G60" i="2" s="1"/>
  <c r="H60" i="2" s="1"/>
  <c r="I60" i="2"/>
  <c r="J60" i="2" s="1"/>
  <c r="A62" i="2"/>
  <c r="D61" i="2"/>
  <c r="E61" i="2"/>
  <c r="A63" i="2" l="1"/>
  <c r="D62" i="2"/>
  <c r="E62" i="2"/>
  <c r="I61" i="2"/>
  <c r="J61" i="2" s="1"/>
  <c r="F61" i="2"/>
  <c r="G61" i="2" s="1"/>
  <c r="H61" i="2" s="1"/>
  <c r="I62" i="2" l="1"/>
  <c r="J62" i="2" s="1"/>
  <c r="F62" i="2"/>
  <c r="G62" i="2" s="1"/>
  <c r="H62" i="2" s="1"/>
  <c r="A64" i="2"/>
  <c r="D63" i="2"/>
  <c r="E63" i="2"/>
  <c r="A65" i="2" l="1"/>
  <c r="D64" i="2"/>
  <c r="E64" i="2"/>
  <c r="F63" i="2"/>
  <c r="G63" i="2" s="1"/>
  <c r="H63" i="2" s="1"/>
  <c r="I63" i="2"/>
  <c r="J63" i="2" s="1"/>
  <c r="F64" i="2" l="1"/>
  <c r="G64" i="2" s="1"/>
  <c r="H64" i="2" s="1"/>
  <c r="I64" i="2"/>
  <c r="J64" i="2" s="1"/>
  <c r="D65" i="2"/>
  <c r="E65" i="2"/>
  <c r="F65" i="2" l="1"/>
  <c r="G65" i="2" s="1"/>
  <c r="H65" i="2" s="1"/>
  <c r="I65" i="2"/>
  <c r="J65" i="2" s="1"/>
  <c r="G7" i="8"/>
  <c r="G5" i="8"/>
  <c r="C2" i="8"/>
  <c r="G8" i="8" l="1"/>
  <c r="G6" i="8"/>
  <c r="J2" i="8"/>
  <c r="I2" i="8" s="1"/>
  <c r="G10" i="8" l="1"/>
</calcChain>
</file>

<file path=xl/comments1.xml><?xml version="1.0" encoding="utf-8"?>
<comments xmlns="http://schemas.openxmlformats.org/spreadsheetml/2006/main">
  <authors>
    <author>Horst</author>
  </authors>
  <commentList>
    <comment ref="D27" authorId="0" shapeId="0">
      <text>
        <r>
          <rPr>
            <b/>
            <sz val="9"/>
            <color indexed="81"/>
            <rFont val="Segoe UI"/>
            <family val="2"/>
          </rPr>
          <t>Horst: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<sst xmlns="http://schemas.openxmlformats.org/spreadsheetml/2006/main" count="577" uniqueCount="324">
  <si>
    <t>Anzahl PKW</t>
  </si>
  <si>
    <t>Anzahl LKW</t>
  </si>
  <si>
    <t>Diesel PKW:</t>
  </si>
  <si>
    <t>Benzin PKW:</t>
  </si>
  <si>
    <t>Dieselverbrauch</t>
  </si>
  <si>
    <t>PKW Benzinverbrauch:</t>
  </si>
  <si>
    <t>LKW Dieselverbrauch:</t>
  </si>
  <si>
    <t>PKW Dieselverbrauch:</t>
  </si>
  <si>
    <t>Laufleistung PKW:</t>
  </si>
  <si>
    <t>Laufleistung LKW</t>
  </si>
  <si>
    <t>Verbrauch per 100km:</t>
  </si>
  <si>
    <t>LKW</t>
  </si>
  <si>
    <t>PKW</t>
  </si>
  <si>
    <t>Liter</t>
  </si>
  <si>
    <t>Liter/100km</t>
  </si>
  <si>
    <t>km</t>
  </si>
  <si>
    <t>Stück</t>
  </si>
  <si>
    <t>E_fahrzeuge</t>
  </si>
  <si>
    <t>Tankstellen:</t>
  </si>
  <si>
    <t>Fakten aus dem Internet:</t>
  </si>
  <si>
    <t>Berechnungen:</t>
  </si>
  <si>
    <t>Gesamt PKW Kontrolle</t>
  </si>
  <si>
    <t>km pro PKW</t>
  </si>
  <si>
    <t>km pro LKW</t>
  </si>
  <si>
    <t>Annahmen:</t>
  </si>
  <si>
    <t>Tankinhalt PKW:</t>
  </si>
  <si>
    <t>Tankinhalt LKW.</t>
  </si>
  <si>
    <t>Benzinverbrauch</t>
  </si>
  <si>
    <t>Laufleistung p.a. pro PKW</t>
  </si>
  <si>
    <t>Laufleistung p.a.  pro LKW</t>
  </si>
  <si>
    <t>Laufleistung p.Tag. pro PKW</t>
  </si>
  <si>
    <t>Laufleistung p.Tag.  pro LKW</t>
  </si>
  <si>
    <t xml:space="preserve"> </t>
  </si>
  <si>
    <t>Tage</t>
  </si>
  <si>
    <t>Liter pro Tag</t>
  </si>
  <si>
    <t>Anzahl Tage pro Tankfüllung:</t>
  </si>
  <si>
    <t>Reichweite eine Tankfüllung:</t>
  </si>
  <si>
    <t>Anzahl Tankvorgänge:</t>
  </si>
  <si>
    <t>Anzahl Tankvorgänge pro Tankstelle:</t>
  </si>
  <si>
    <t>pro Tag</t>
  </si>
  <si>
    <t>Verbrauch pro Tag und Fahrzeug</t>
  </si>
  <si>
    <t>Elektroauto</t>
  </si>
  <si>
    <t>kWh/100km</t>
  </si>
  <si>
    <t>Umstellung auf</t>
  </si>
  <si>
    <t>Elektroantrieb</t>
  </si>
  <si>
    <t>benötigte elektrische Leistung pro Jahr</t>
  </si>
  <si>
    <t>[MWh]</t>
  </si>
  <si>
    <t>[GWh]</t>
  </si>
  <si>
    <t>[TWh]</t>
  </si>
  <si>
    <t>Erzeugte Energie in Deutschland pro jahr</t>
  </si>
  <si>
    <t>Lademenge pro Stunde</t>
  </si>
  <si>
    <t>kW</t>
  </si>
  <si>
    <t>Laufleistung pro PKW/Jahr</t>
  </si>
  <si>
    <t>Laufleistung pro LKW/Jahr</t>
  </si>
  <si>
    <t>% mehr Strom</t>
  </si>
  <si>
    <t>Anzahl fahrzeuge</t>
  </si>
  <si>
    <t>entspricht Anzahl Autos</t>
  </si>
  <si>
    <t>Autos</t>
  </si>
  <si>
    <t>Laufleistung pro Auto</t>
  </si>
  <si>
    <t>Wasserstoff</t>
  </si>
  <si>
    <t>Anzahl Autos</t>
  </si>
  <si>
    <t>Flaschengröße</t>
  </si>
  <si>
    <t>kg/100km</t>
  </si>
  <si>
    <t xml:space="preserve">kg </t>
  </si>
  <si>
    <t>Anzahl Flaschen</t>
  </si>
  <si>
    <t>pro Tankstelle und Jahr</t>
  </si>
  <si>
    <t>pro Tankstelle und Tag</t>
  </si>
  <si>
    <t>Länge</t>
  </si>
  <si>
    <t>Breite</t>
  </si>
  <si>
    <t>Höhe</t>
  </si>
  <si>
    <t>Flaschen</t>
  </si>
  <si>
    <t>Anzahl</t>
  </si>
  <si>
    <t>Flaschen pro Palette</t>
  </si>
  <si>
    <t>Palettenmaße [m]</t>
  </si>
  <si>
    <t>LKW Maße [m]</t>
  </si>
  <si>
    <t>Paletten pro LKW</t>
  </si>
  <si>
    <t>Anzahl Flaschen pro LKW</t>
  </si>
  <si>
    <t>Paletten</t>
  </si>
  <si>
    <t>Benötigter Platz</t>
  </si>
  <si>
    <t>Anzahl Paletten</t>
  </si>
  <si>
    <t>pro 4 Tage</t>
  </si>
  <si>
    <t>Breite [Paletten]</t>
  </si>
  <si>
    <t>Länge [Paletten]</t>
  </si>
  <si>
    <t>Höhe [m]</t>
  </si>
  <si>
    <t>Breite [m]</t>
  </si>
  <si>
    <t>Länge [m]</t>
  </si>
  <si>
    <t>Anzahl LKW pro Tag</t>
  </si>
  <si>
    <t>Vorrat für [Tage]</t>
  </si>
  <si>
    <t>Fläche [m²]</t>
  </si>
  <si>
    <t>Anzahl Ladestationen</t>
  </si>
  <si>
    <t>Batterielebensdauer</t>
  </si>
  <si>
    <t>Laufleistung pro Jahr [km]</t>
  </si>
  <si>
    <t>kg</t>
  </si>
  <si>
    <t>Kg</t>
  </si>
  <si>
    <t>Anzahl Fahrzeuge</t>
  </si>
  <si>
    <t>km im Jahr</t>
  </si>
  <si>
    <t>prozentualer Anteil</t>
  </si>
  <si>
    <t>Benötigte Ladezeit[h] im Jahr</t>
  </si>
  <si>
    <t>Ladezeit [h] pro Ladestation und Tag</t>
  </si>
  <si>
    <t>Benötigte Energie pro umgestellten Auto</t>
  </si>
  <si>
    <t>Batterienaustausch [Stück]  pro Jahr</t>
  </si>
  <si>
    <t>1kWh</t>
  </si>
  <si>
    <t>Strom für Wasserstoff</t>
  </si>
  <si>
    <t>TWh</t>
  </si>
  <si>
    <t>Laufleistung Auto</t>
  </si>
  <si>
    <t>Fahrzeugart</t>
  </si>
  <si>
    <t>Gesamtfahrleistung</t>
  </si>
  <si>
    <t>Veränderung</t>
  </si>
  <si>
    <t>zum Vorjahr</t>
  </si>
  <si>
    <t>in %</t>
  </si>
  <si>
    <t>Durchschnittliche</t>
  </si>
  <si>
    <t>Fahrleistung</t>
  </si>
  <si>
    <t>pro Jahr in km</t>
  </si>
  <si>
    <t>Krafträder</t>
  </si>
  <si>
    <t>Personenkraftwagen</t>
  </si>
  <si>
    <t>Lastkraftwagen bis 3,5 Tonnen</t>
  </si>
  <si>
    <t>Lastkraftwagen 3,5 bis 6 Tonnen</t>
  </si>
  <si>
    <t>Lastkraftwagen über 6 Tonnen</t>
  </si>
  <si>
    <t>Land-/forstwirtschaftliche Zugmaschinen</t>
  </si>
  <si>
    <t>Sattelzugmaschinen</t>
  </si>
  <si>
    <t>Sonstige Zugmaschinen</t>
  </si>
  <si>
    <t>Omnibusse</t>
  </si>
  <si>
    <t>Sonstige Kraftfahrzeuge</t>
  </si>
  <si>
    <t>Kraftfahrzeuge insgesamt</t>
  </si>
  <si>
    <t>Benzin</t>
  </si>
  <si>
    <t>Diesel</t>
  </si>
  <si>
    <t>LPD</t>
  </si>
  <si>
    <t>CNG</t>
  </si>
  <si>
    <t>Elektro</t>
  </si>
  <si>
    <t>Hyprid</t>
  </si>
  <si>
    <t>PKW Fahrzeuge</t>
  </si>
  <si>
    <t>Kraft Onibusse</t>
  </si>
  <si>
    <t>Lastkraftwagen</t>
  </si>
  <si>
    <t>Zugmaschinen</t>
  </si>
  <si>
    <t>Sonstige</t>
  </si>
  <si>
    <t>Kraftfahrzeuge Gesamt</t>
  </si>
  <si>
    <t>Motorräder</t>
  </si>
  <si>
    <t>Benzinverbrauch  PKW</t>
  </si>
  <si>
    <t>L/100km</t>
  </si>
  <si>
    <t>CO [Kg]</t>
  </si>
  <si>
    <t>Kwh/Liter</t>
  </si>
  <si>
    <t>KWh/kg</t>
  </si>
  <si>
    <t>CO2</t>
  </si>
  <si>
    <t>CO2 g/km</t>
  </si>
  <si>
    <t>km Fahrstrecke</t>
  </si>
  <si>
    <t>Tonnen Co2</t>
  </si>
  <si>
    <t>Kraftstoffverbrauch im Straßenverkehr in Millionen Litern*</t>
  </si>
  <si>
    <t>Personenverkehr</t>
  </si>
  <si>
    <t>Güterverkehr</t>
  </si>
  <si>
    <t>Summe</t>
  </si>
  <si>
    <t>* Errechnet auf Basis der Inländerfahrleistung (einschließlich Auslandsstrecken deutscher Kraftfahrzeuge und ohne Inlandsstrecken ausländischer Kraftfahrzeuge).</t>
  </si>
  <si>
    <t>Quelle: Bundesministerium für Verkehr und digitale Infrastruktur (Hrsg.): Verkehr in Zahlen 2016/2017</t>
  </si>
  <si>
    <t>Kraftstoffverbrauch von Pkw und Kombi in Millionen Litern*</t>
  </si>
  <si>
    <t>Dieselverbrauch PKW</t>
  </si>
  <si>
    <t>Dieselverbrauch LKW</t>
  </si>
  <si>
    <t>35Liter/100km</t>
  </si>
  <si>
    <t>Tonnen</t>
  </si>
  <si>
    <t>Euro VI</t>
  </si>
  <si>
    <t>CO</t>
  </si>
  <si>
    <t>(g/km)</t>
  </si>
  <si>
    <r>
      <t>HC + NO</t>
    </r>
    <r>
      <rPr>
        <vertAlign val="subscript"/>
        <sz val="11"/>
        <color theme="1"/>
        <rFont val="Calibri"/>
        <family val="2"/>
        <scheme val="minor"/>
      </rPr>
      <t>x</t>
    </r>
  </si>
  <si>
    <r>
      <t>NO</t>
    </r>
    <r>
      <rPr>
        <vertAlign val="subscript"/>
        <sz val="11"/>
        <color theme="1"/>
        <rFont val="Calibri"/>
        <family val="2"/>
        <scheme val="minor"/>
      </rPr>
      <t>x</t>
    </r>
  </si>
  <si>
    <t>PM</t>
  </si>
  <si>
    <t>Wirkungsgrad</t>
  </si>
  <si>
    <t>1 Kg Benzin entspricht 12 kWh     1 L iter entspricht 8,9 Kwh</t>
  </si>
  <si>
    <t>1 Kg Diesel entspricht 11,9 KWh   1 Loter entspricht 9,8 KWh</t>
  </si>
  <si>
    <t>1 Kg Wasserstoff entspricht 33,3 KWh</t>
  </si>
  <si>
    <t>Eine 70 MPa  Wasserstoff-Flasche mit einem Durchmesser von 440 mm und Länge von 1050 mm hat ein</t>
  </si>
  <si>
    <t>Gewicht von 59 Kg ein Füllvolumen von 76 Liter und eine Füllmenge von 3,1 kg (Daten vom Hersteller)</t>
  </si>
  <si>
    <t>1 Liter Benzin wiegtr ca. 742 g, das heißt 1,35 Liter Bentin wiegen 1 kg</t>
  </si>
  <si>
    <t xml:space="preserve">Das würde bedeuten das 1 Kg Wasserstoff entspricht 2,75 kg Benzin daraus folgt das </t>
  </si>
  <si>
    <t>1Kg Wasserstoff 3,74 Liter Benzin entspricht</t>
  </si>
  <si>
    <t>Anzahl Tankstellen</t>
  </si>
  <si>
    <t>Nochmal: Woher kommt der Wasserstoff für 45.000.000 Fahrzeuge? Woher kommen die 6.255.346t Wasserstoff? Woher kommen die 344TWh, die man zu deren Erzeugung bräuchte?</t>
  </si>
  <si>
    <t>Zurzeit verbrauchen die bestehenden Fahrzeuge</t>
  </si>
  <si>
    <t>Benzin: 25.304.000.000 Liter</t>
  </si>
  <si>
    <t>Diesel: 20.020.000.000 Liter</t>
  </si>
  <si>
    <t>Strom für Wasserstoff 344.000.000.000 TWh 0,555 g/Kwh 190.920.000.000 CO</t>
  </si>
  <si>
    <t>Laufleistung Auto 625.534.604.000 km 0,174 g/km 108.843.021.096 CO</t>
  </si>
  <si>
    <t>KWh</t>
  </si>
  <si>
    <t>Strom</t>
  </si>
  <si>
    <t>Photovoltaikanlagen</t>
  </si>
  <si>
    <t>Windenergie</t>
  </si>
  <si>
    <t>Braunkohle</t>
  </si>
  <si>
    <t>Steinkohle</t>
  </si>
  <si>
    <t>Kernenergie</t>
  </si>
  <si>
    <t>Erdgas</t>
  </si>
  <si>
    <t>Wasserkraft</t>
  </si>
  <si>
    <t>Biomasse</t>
  </si>
  <si>
    <t>Gesamt</t>
  </si>
  <si>
    <t>Man würde ca. 4.200.000 Akkus jedes Jahr ersetzen müssen. Wie hoch ist denn die Energiemenge um einen Akku herzustellen.</t>
  </si>
  <si>
    <t>Es entstehen bei der Herstellung pro Kilowattstunde Speicherkapazität rund 150 bis 200 Kilo Kohlendioxid-Äquivalente.</t>
  </si>
  <si>
    <t>Kilo/Kwh</t>
  </si>
  <si>
    <t>Tonnen CO2</t>
  </si>
  <si>
    <t>Verbrennungsmotoren 2017</t>
  </si>
  <si>
    <t>KWh bei Wasserstoff</t>
  </si>
  <si>
    <t>KWh bei E-Fahrzeugen</t>
  </si>
  <si>
    <t xml:space="preserve">KWh </t>
  </si>
  <si>
    <t>Energiebedarf für die Batterieherstellun</t>
  </si>
  <si>
    <t>Akkukapazität</t>
  </si>
  <si>
    <t>Herstellungsenergie</t>
  </si>
  <si>
    <t>Akkuanzahl pro Jahr</t>
  </si>
  <si>
    <t>KWh Batterieaustausch</t>
  </si>
  <si>
    <t>Reichweite E-Fahrzeug</t>
  </si>
  <si>
    <t>Batteriegröße</t>
  </si>
  <si>
    <t>Kg/KWh CO2</t>
  </si>
  <si>
    <t>Trafostation</t>
  </si>
  <si>
    <t>400KVA</t>
  </si>
  <si>
    <t>630KVA</t>
  </si>
  <si>
    <t>800KVA</t>
  </si>
  <si>
    <t>1.000KVA</t>
  </si>
  <si>
    <t>Hausanschlußleistung</t>
  </si>
  <si>
    <t>KW</t>
  </si>
  <si>
    <t>Reichweite</t>
  </si>
  <si>
    <t>Stromverbrauch</t>
  </si>
  <si>
    <t>KWh/100km</t>
  </si>
  <si>
    <t>mm²</t>
  </si>
  <si>
    <t>pro Meter</t>
  </si>
  <si>
    <t>Berechnung der Ströme:</t>
  </si>
  <si>
    <t>50 Ladegeräte LKW</t>
  </si>
  <si>
    <t>Ladegerät LKW</t>
  </si>
  <si>
    <t>Spannung</t>
  </si>
  <si>
    <t>Drehstrom</t>
  </si>
  <si>
    <t>Leistung</t>
  </si>
  <si>
    <t>Erdkabel 4*95 mm²</t>
  </si>
  <si>
    <t>CO2 für die Herstellung der Batterien</t>
  </si>
  <si>
    <t>W</t>
  </si>
  <si>
    <t>für die Herstellung von 1 Kg Wasserstoff benötigt man</t>
  </si>
  <si>
    <t>kWh</t>
  </si>
  <si>
    <t xml:space="preserve">Annahme: </t>
  </si>
  <si>
    <t>Anzahl der LKW die geladen werden müssen:</t>
  </si>
  <si>
    <t>Anzahl der PKW die geladen werden müssen:</t>
  </si>
  <si>
    <t>Anzahl Autobahntankstellen</t>
  </si>
  <si>
    <t>A1</t>
  </si>
  <si>
    <t>Anteil LKW</t>
  </si>
  <si>
    <t>LKW pro Tag</t>
  </si>
  <si>
    <t>PKW pro Tag</t>
  </si>
  <si>
    <t>Anzahl Autobahntankstellen auf der A1</t>
  </si>
  <si>
    <t>Wenn man jetzt davon ausgeht das jedes Auto einmal tankt</t>
  </si>
  <si>
    <t>Länge der A1</t>
  </si>
  <si>
    <t>Faktor  wieviele PKW einmal auf der Strecke tanken</t>
  </si>
  <si>
    <t>Faktor  wieviele LKW einmal auf der Strecke tanken</t>
  </si>
  <si>
    <t>Anzahl der Fahrzeuge die Tanken</t>
  </si>
  <si>
    <t>LKW pro TankstelleTag</t>
  </si>
  <si>
    <t>PKW pro Tankstelle  Tag</t>
  </si>
  <si>
    <t>PKW Tanken für eine Strecke von</t>
  </si>
  <si>
    <t>LKW Tanken für eine Strecke von</t>
  </si>
  <si>
    <t>PKW Verbrauch pro 100 km</t>
  </si>
  <si>
    <t>LKW Verbrauch pro 100 km</t>
  </si>
  <si>
    <t>Ladeleistung Ladesäule PKW</t>
  </si>
  <si>
    <t>Ladeleistung Ladesäule LKW</t>
  </si>
  <si>
    <t>Strommenge die pro Fahrzeug getankt werden müßte</t>
  </si>
  <si>
    <t>Strommenge die pro Tankstelle und Tankstelle benötiigt wird</t>
  </si>
  <si>
    <t>Gesamt Bedarf</t>
  </si>
  <si>
    <t>MWh</t>
  </si>
  <si>
    <t>größte Auslastung A1 pro Tag</t>
  </si>
  <si>
    <t>Anzahl der benötigten Ladesäulen</t>
  </si>
  <si>
    <t>Typ</t>
  </si>
  <si>
    <t>Ladesäulenanzahl</t>
  </si>
  <si>
    <t>Ladezeit [Std]</t>
  </si>
  <si>
    <t>Anzahl der Fahrzeuge die tanken  pro Tankstelle</t>
  </si>
  <si>
    <t>Belegzeit der Ladesäulen [Std]</t>
  </si>
  <si>
    <t>Diese Rechnung geht nur auf, wenn sich alle Tankvorgänge gleichmäßig über alle Tankstellen und über den ganzen Tag verteilen</t>
  </si>
  <si>
    <t>Zu installierende Strommenge nur an der A1:</t>
  </si>
  <si>
    <t>7.500KVA</t>
  </si>
  <si>
    <t>l</t>
  </si>
  <si>
    <t>Diesel PKW</t>
  </si>
  <si>
    <t>Diesel LKW</t>
  </si>
  <si>
    <t>Verbrauch</t>
  </si>
  <si>
    <t>Benzin PKW</t>
  </si>
  <si>
    <t>Verbrauch pro 100km</t>
  </si>
  <si>
    <t>CO2 pro Liter [Kg]</t>
  </si>
  <si>
    <t>CO2 Ausstoß [t]</t>
  </si>
  <si>
    <t>Erdgas H-Gas [kg]</t>
  </si>
  <si>
    <t>http://www.ruemmele.ch/eco/co2.php?v_check=1&amp;verbrauch_b95=10&amp;verbrauch_co2_km=163.1&amp;verbrauch_dist=&amp;verbrauch_diesel=6.1780303030303&amp;verbrauch_lpg=9.3735632183908&amp;verbrauch_cngh=5.9309090909091&amp;verbrauch_cngl=5.9309090909091&amp;verbrauch_go=+go+&amp;brennwert_b95=7&amp;brennwert_diesel=6.0666666666667&amp;brennwert_lpg=7.4666666666667&amp;brennwert_cng_h=4.6666666666667&amp;brennwert_cng_l=5.3666666666667</t>
  </si>
  <si>
    <t>CO2 pro KWh</t>
  </si>
  <si>
    <t>Watt</t>
  </si>
  <si>
    <t>Photovoltaik</t>
  </si>
  <si>
    <t>Gesamte Energie</t>
  </si>
  <si>
    <t>Erzeugte Energie</t>
  </si>
  <si>
    <t>Stromüberschuß</t>
  </si>
  <si>
    <t>Arcadis Ost 1</t>
  </si>
  <si>
    <t>Ostsee</t>
  </si>
  <si>
    <t>Arkona</t>
  </si>
  <si>
    <t>Albatros</t>
  </si>
  <si>
    <t>Nordsee</t>
  </si>
  <si>
    <t>alpha ventus</t>
  </si>
  <si>
    <t>Amrumbank West</t>
  </si>
  <si>
    <t>Baltic 1</t>
  </si>
  <si>
    <t>Baltic 2</t>
  </si>
  <si>
    <t>BARD Offshore 1</t>
  </si>
  <si>
    <t>Borkum Riffgrund</t>
  </si>
  <si>
    <t>Borkum Riffgrund West</t>
  </si>
  <si>
    <t>Butendiek</t>
  </si>
  <si>
    <t>DanTysk</t>
  </si>
  <si>
    <t>Delta Nordsee 1</t>
  </si>
  <si>
    <t>Global Tech I</t>
  </si>
  <si>
    <t>Gode Wind I</t>
  </si>
  <si>
    <t>Gode Wind II</t>
  </si>
  <si>
    <t>He Dreiht</t>
  </si>
  <si>
    <t>Hohe See</t>
  </si>
  <si>
    <t>Meerwind</t>
  </si>
  <si>
    <t>Merkur</t>
  </si>
  <si>
    <t>Nordergründe</t>
  </si>
  <si>
    <t>Nördlicher Grund</t>
  </si>
  <si>
    <t>Nordsee One</t>
  </si>
  <si>
    <t>Nordsee Ost</t>
  </si>
  <si>
    <t>Riffgat</t>
  </si>
  <si>
    <t>Sandbank</t>
  </si>
  <si>
    <t>Trianel Windpark Borkum</t>
  </si>
  <si>
    <t>Veja Mate</t>
  </si>
  <si>
    <t>Wikinger</t>
  </si>
  <si>
    <t>Intallierte Leistung [Mwatt]</t>
  </si>
  <si>
    <t>Verbrauchte Stromenergie</t>
  </si>
  <si>
    <t>Steigerungsrte</t>
  </si>
  <si>
    <t>Wasserstofferzeugung 80%</t>
  </si>
  <si>
    <t>Offshore Parks</t>
  </si>
  <si>
    <t>Normaler Stromverbrauch 2017</t>
  </si>
  <si>
    <t>zusätzlicher Energiebedarf für die Wasserstoffgewinnung Ersatz für Benzin und Diesel</t>
  </si>
  <si>
    <t>Wasserstofferzeugung aus anderen chemischen Prozessen</t>
  </si>
  <si>
    <t xml:space="preserve">Photovoltaikenergie </t>
  </si>
  <si>
    <t>im Jahr 2017</t>
  </si>
  <si>
    <t>Steigerungsrate bis 2030</t>
  </si>
  <si>
    <t>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</si>
</sst>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#,##0.0"/>
    <numFmt numFmtId="165" formatCode="0.0%"/>
    <numFmt numFmtId="166" formatCode="0.0"/>
    <numFmt numFmtId="167" formatCode="0.0000%"/>
    <numFmt numFmtId="168" formatCode="0\ 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name val="Meta Offc"/>
      <family val="2"/>
    </font>
    <font>
      <sz val="6"/>
      <name val="Meta Serif Offc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thin">
        <color rgb="FFFFFFFF"/>
      </left>
      <right/>
      <top/>
      <bottom/>
      <diagonal/>
    </border>
    <border>
      <left style="dotted">
        <color rgb="FF080808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9" fontId="0" fillId="0" borderId="0" xfId="1" applyFont="1"/>
    <xf numFmtId="9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1" fontId="0" fillId="0" borderId="0" xfId="0" applyNumberFormat="1"/>
    <xf numFmtId="3" fontId="0" fillId="0" borderId="0" xfId="1" applyNumberFormat="1" applyFont="1"/>
    <xf numFmtId="166" fontId="0" fillId="0" borderId="0" xfId="0" applyNumberFormat="1"/>
    <xf numFmtId="2" fontId="0" fillId="0" borderId="0" xfId="0" applyNumberFormat="1"/>
    <xf numFmtId="167" fontId="0" fillId="0" borderId="0" xfId="1" applyNumberFormat="1" applyFont="1"/>
    <xf numFmtId="0" fontId="3" fillId="0" borderId="0" xfId="0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4" fillId="0" borderId="0" xfId="2"/>
    <xf numFmtId="0" fontId="3" fillId="0" borderId="0" xfId="0" applyFont="1"/>
    <xf numFmtId="4" fontId="0" fillId="0" borderId="0" xfId="0" applyNumberFormat="1"/>
    <xf numFmtId="3" fontId="5" fillId="2" borderId="6" xfId="0" applyNumberFormat="1" applyFont="1" applyFill="1" applyBorder="1" applyAlignment="1">
      <alignment horizontal="right" vertical="center" wrapText="1" indent="1"/>
    </xf>
    <xf numFmtId="0" fontId="0" fillId="0" borderId="0" xfId="0"/>
    <xf numFmtId="0" fontId="6" fillId="4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top"/>
    </xf>
    <xf numFmtId="1" fontId="9" fillId="3" borderId="1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right" vertical="center" wrapText="1" indent="1"/>
    </xf>
    <xf numFmtId="0" fontId="9" fillId="3" borderId="5" xfId="0" applyFont="1" applyFill="1" applyBorder="1" applyAlignment="1">
      <alignment horizontal="right" vertical="center" wrapText="1" indent="1"/>
    </xf>
    <xf numFmtId="3" fontId="5" fillId="4" borderId="4" xfId="0" applyNumberFormat="1" applyFont="1" applyFill="1" applyBorder="1" applyAlignment="1">
      <alignment horizontal="right" vertical="center" wrapText="1" indent="1"/>
    </xf>
    <xf numFmtId="3" fontId="5" fillId="4" borderId="6" xfId="0" applyNumberFormat="1" applyFont="1" applyFill="1" applyBorder="1" applyAlignment="1">
      <alignment horizontal="right" vertical="center" wrapText="1" indent="1"/>
    </xf>
    <xf numFmtId="3" fontId="5" fillId="2" borderId="4" xfId="0" applyNumberFormat="1" applyFont="1" applyFill="1" applyBorder="1" applyAlignment="1">
      <alignment horizontal="right" vertical="center" wrapText="1" indent="1"/>
    </xf>
    <xf numFmtId="3" fontId="5" fillId="2" borderId="6" xfId="0" applyNumberFormat="1" applyFont="1" applyFill="1" applyBorder="1" applyAlignment="1">
      <alignment horizontal="right" vertical="center" wrapText="1" indent="1"/>
    </xf>
    <xf numFmtId="3" fontId="9" fillId="3" borderId="2" xfId="0" applyNumberFormat="1" applyFont="1" applyFill="1" applyBorder="1" applyAlignment="1">
      <alignment horizontal="right" vertical="center" wrapText="1" indent="1"/>
    </xf>
    <xf numFmtId="3" fontId="9" fillId="3" borderId="5" xfId="0" applyNumberFormat="1" applyFont="1" applyFill="1" applyBorder="1" applyAlignment="1">
      <alignment horizontal="right" vertical="center" wrapText="1" indent="1"/>
    </xf>
    <xf numFmtId="0" fontId="8" fillId="4" borderId="0" xfId="0" applyFont="1" applyFill="1" applyBorder="1" applyAlignment="1">
      <alignment horizontal="left" vertical="top"/>
    </xf>
    <xf numFmtId="0" fontId="0" fillId="4" borderId="0" xfId="0" applyFill="1" applyBorder="1"/>
    <xf numFmtId="168" fontId="5" fillId="4" borderId="4" xfId="0" applyNumberFormat="1" applyFont="1" applyFill="1" applyBorder="1" applyAlignment="1">
      <alignment horizontal="right" vertical="center" wrapText="1" indent="1"/>
    </xf>
    <xf numFmtId="168" fontId="5" fillId="4" borderId="6" xfId="0" applyNumberFormat="1" applyFont="1" applyFill="1" applyBorder="1" applyAlignment="1">
      <alignment horizontal="right" vertical="center" wrapText="1" indent="1"/>
    </xf>
    <xf numFmtId="168" fontId="5" fillId="2" borderId="4" xfId="0" applyNumberFormat="1" applyFont="1" applyFill="1" applyBorder="1" applyAlignment="1">
      <alignment horizontal="right" vertical="center" wrapText="1" indent="1"/>
    </xf>
    <xf numFmtId="168" fontId="5" fillId="2" borderId="6" xfId="0" applyNumberFormat="1" applyFont="1" applyFill="1" applyBorder="1" applyAlignment="1">
      <alignment horizontal="right" vertical="center" wrapText="1" indent="1"/>
    </xf>
    <xf numFmtId="168" fontId="9" fillId="3" borderId="2" xfId="0" applyNumberFormat="1" applyFont="1" applyFill="1" applyBorder="1" applyAlignment="1">
      <alignment horizontal="right" vertical="center" wrapText="1" indent="1"/>
    </xf>
    <xf numFmtId="168" fontId="9" fillId="3" borderId="5" xfId="0" applyNumberFormat="1" applyFont="1" applyFill="1" applyBorder="1" applyAlignment="1">
      <alignment horizontal="right" vertical="center" wrapText="1" indent="1"/>
    </xf>
    <xf numFmtId="0" fontId="11" fillId="4" borderId="0" xfId="0" applyFont="1" applyFill="1" applyBorder="1" applyAlignment="1">
      <alignment horizontal="right" vertical="top"/>
    </xf>
    <xf numFmtId="0" fontId="0" fillId="0" borderId="0" xfId="0"/>
    <xf numFmtId="0" fontId="5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top"/>
    </xf>
    <xf numFmtId="1" fontId="9" fillId="3" borderId="1" xfId="0" applyNumberFormat="1" applyFont="1" applyFill="1" applyBorder="1" applyAlignment="1">
      <alignment horizontal="left" vertical="center" wrapText="1"/>
    </xf>
    <xf numFmtId="165" fontId="0" fillId="4" borderId="0" xfId="0" applyNumberFormat="1" applyFill="1"/>
    <xf numFmtId="0" fontId="8" fillId="4" borderId="0" xfId="0" applyFont="1" applyFill="1" applyBorder="1" applyAlignment="1">
      <alignment horizontal="left" vertical="top"/>
    </xf>
    <xf numFmtId="0" fontId="11" fillId="4" borderId="0" xfId="0" applyFont="1" applyFill="1" applyBorder="1" applyAlignment="1">
      <alignment horizontal="right" vertical="top"/>
    </xf>
    <xf numFmtId="0" fontId="9" fillId="3" borderId="2" xfId="0" applyFont="1" applyFill="1" applyBorder="1" applyAlignment="1">
      <alignment horizontal="right" vertical="center" wrapText="1" indent="1"/>
    </xf>
    <xf numFmtId="3" fontId="5" fillId="4" borderId="4" xfId="0" applyNumberFormat="1" applyFont="1" applyFill="1" applyBorder="1" applyAlignment="1">
      <alignment horizontal="right" vertical="center" wrapText="1" indent="1"/>
    </xf>
    <xf numFmtId="3" fontId="5" fillId="4" borderId="6" xfId="0" applyNumberFormat="1" applyFont="1" applyFill="1" applyBorder="1" applyAlignment="1">
      <alignment horizontal="right" vertical="center" wrapText="1" indent="1"/>
    </xf>
    <xf numFmtId="3" fontId="5" fillId="2" borderId="4" xfId="0" applyNumberFormat="1" applyFont="1" applyFill="1" applyBorder="1" applyAlignment="1">
      <alignment horizontal="right" vertical="center" wrapText="1" indent="1"/>
    </xf>
    <xf numFmtId="3" fontId="5" fillId="2" borderId="6" xfId="0" applyNumberFormat="1" applyFont="1" applyFill="1" applyBorder="1" applyAlignment="1">
      <alignment horizontal="right" vertical="center" wrapText="1" indent="1"/>
    </xf>
    <xf numFmtId="3" fontId="9" fillId="3" borderId="2" xfId="0" applyNumberFormat="1" applyFont="1" applyFill="1" applyBorder="1" applyAlignment="1">
      <alignment horizontal="right" vertical="center" wrapText="1" indent="1"/>
    </xf>
    <xf numFmtId="3" fontId="9" fillId="3" borderId="5" xfId="0" applyNumberFormat="1" applyFont="1" applyFill="1" applyBorder="1" applyAlignment="1">
      <alignment horizontal="right" vertical="center" wrapText="1" indent="1"/>
    </xf>
    <xf numFmtId="0" fontId="0" fillId="4" borderId="0" xfId="0" applyFill="1" applyAlignment="1">
      <alignment horizontal="right" indent="1"/>
    </xf>
    <xf numFmtId="0" fontId="0" fillId="4" borderId="0" xfId="0" applyFill="1" applyBorder="1" applyAlignment="1">
      <alignment horizontal="right" indent="1"/>
    </xf>
    <xf numFmtId="0" fontId="9" fillId="3" borderId="5" xfId="0" applyFont="1" applyFill="1" applyBorder="1" applyAlignment="1">
      <alignment horizontal="right" vertical="center" wrapText="1" indent="1"/>
    </xf>
    <xf numFmtId="168" fontId="9" fillId="3" borderId="2" xfId="0" applyNumberFormat="1" applyFont="1" applyFill="1" applyBorder="1" applyAlignment="1">
      <alignment horizontal="right" vertical="center" wrapText="1" indent="1"/>
    </xf>
    <xf numFmtId="168" fontId="9" fillId="3" borderId="5" xfId="0" applyNumberFormat="1" applyFont="1" applyFill="1" applyBorder="1" applyAlignment="1">
      <alignment horizontal="right" vertical="center" wrapText="1" indent="1"/>
    </xf>
    <xf numFmtId="168" fontId="5" fillId="4" borderId="4" xfId="0" applyNumberFormat="1" applyFont="1" applyFill="1" applyBorder="1" applyAlignment="1">
      <alignment horizontal="right" vertical="center" wrapText="1" indent="1"/>
    </xf>
    <xf numFmtId="168" fontId="5" fillId="4" borderId="6" xfId="0" applyNumberFormat="1" applyFont="1" applyFill="1" applyBorder="1" applyAlignment="1">
      <alignment horizontal="right" vertical="center" wrapText="1" indent="1"/>
    </xf>
    <xf numFmtId="168" fontId="5" fillId="2" borderId="4" xfId="0" applyNumberFormat="1" applyFont="1" applyFill="1" applyBorder="1" applyAlignment="1">
      <alignment horizontal="right" vertical="center" wrapText="1" indent="1"/>
    </xf>
    <xf numFmtId="168" fontId="5" fillId="2" borderId="6" xfId="0" applyNumberFormat="1" applyFont="1" applyFill="1" applyBorder="1" applyAlignment="1">
      <alignment horizontal="right" vertical="center" wrapText="1" indent="1"/>
    </xf>
    <xf numFmtId="17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44" fontId="0" fillId="0" borderId="0" xfId="3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0" applyFont="1" applyAlignment="1">
      <alignment vertical="center"/>
    </xf>
    <xf numFmtId="10" fontId="0" fillId="0" borderId="0" xfId="0" applyNumberFormat="1"/>
    <xf numFmtId="0" fontId="4" fillId="0" borderId="0" xfId="2" applyAlignment="1">
      <alignment vertical="center" wrapText="1"/>
    </xf>
    <xf numFmtId="3" fontId="3" fillId="0" borderId="0" xfId="0" applyNumberFormat="1" applyFont="1"/>
    <xf numFmtId="3" fontId="0" fillId="0" borderId="7" xfId="0" applyNumberFormat="1" applyBorder="1"/>
    <xf numFmtId="3" fontId="0" fillId="0" borderId="0" xfId="0" applyNumberFormat="1" applyBorder="1"/>
    <xf numFmtId="3" fontId="0" fillId="0" borderId="7" xfId="0" applyNumberFormat="1" applyFont="1" applyBorder="1"/>
    <xf numFmtId="0" fontId="3" fillId="0" borderId="0" xfId="0" applyFont="1" applyAlignment="1">
      <alignment horizontal="center" vertical="center"/>
    </xf>
  </cellXfs>
  <cellStyles count="4">
    <cellStyle name="Link" xfId="2" builtinId="8"/>
    <cellStyle name="Prozent" xfId="1" builtinId="5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e.wikipedia.org/wiki/BARD_Offshore_1" TargetMode="External"/><Relationship Id="rId13" Type="http://schemas.openxmlformats.org/officeDocument/2006/relationships/hyperlink" Target="https://de.wikipedia.org/wiki/Offshore-Windpark_Delta_Nordsee_1" TargetMode="External"/><Relationship Id="rId18" Type="http://schemas.openxmlformats.org/officeDocument/2006/relationships/hyperlink" Target="https://de.wikipedia.org/wiki/Offshore-Windpark_Hohe_See" TargetMode="External"/><Relationship Id="rId26" Type="http://schemas.openxmlformats.org/officeDocument/2006/relationships/hyperlink" Target="https://de.wikipedia.org/wiki/Offshore-Windpark_Sandbank" TargetMode="External"/><Relationship Id="rId3" Type="http://schemas.openxmlformats.org/officeDocument/2006/relationships/hyperlink" Target="https://de.wikipedia.org/wiki/Offshore-Windpark_Albatros" TargetMode="External"/><Relationship Id="rId21" Type="http://schemas.openxmlformats.org/officeDocument/2006/relationships/hyperlink" Target="https://de.wikipedia.org/wiki/Offshore-Windpark_Nordergr%C3%BCnde" TargetMode="External"/><Relationship Id="rId7" Type="http://schemas.openxmlformats.org/officeDocument/2006/relationships/hyperlink" Target="https://de.wikipedia.org/wiki/Offshore-Windpark_Baltic_2" TargetMode="External"/><Relationship Id="rId12" Type="http://schemas.openxmlformats.org/officeDocument/2006/relationships/hyperlink" Target="https://de.wikipedia.org/wiki/Offshore-Windpark_DanTysk" TargetMode="External"/><Relationship Id="rId17" Type="http://schemas.openxmlformats.org/officeDocument/2006/relationships/hyperlink" Target="https://de.wikipedia.org/wiki/Offshore-Windpark_He_dreiht" TargetMode="External"/><Relationship Id="rId25" Type="http://schemas.openxmlformats.org/officeDocument/2006/relationships/hyperlink" Target="https://de.wikipedia.org/wiki/Offshore-Windpark_Riffgat" TargetMode="External"/><Relationship Id="rId2" Type="http://schemas.openxmlformats.org/officeDocument/2006/relationships/hyperlink" Target="https://de.wikipedia.org/wiki/Offshore-Windpark_Arkona" TargetMode="External"/><Relationship Id="rId16" Type="http://schemas.openxmlformats.org/officeDocument/2006/relationships/hyperlink" Target="https://de.wikipedia.org/wiki/Offshore-Windpark_Gode_Wind_II" TargetMode="External"/><Relationship Id="rId20" Type="http://schemas.openxmlformats.org/officeDocument/2006/relationships/hyperlink" Target="https://de.wikipedia.org/wiki/Offshore-Windpark_Merkur" TargetMode="External"/><Relationship Id="rId29" Type="http://schemas.openxmlformats.org/officeDocument/2006/relationships/hyperlink" Target="https://de.wikipedia.org/wiki/Offshore-Windpark_Wikinger" TargetMode="External"/><Relationship Id="rId1" Type="http://schemas.openxmlformats.org/officeDocument/2006/relationships/hyperlink" Target="https://de.wikipedia.org/wiki/Offshore-Windpark_Arcadis_Ost_1" TargetMode="External"/><Relationship Id="rId6" Type="http://schemas.openxmlformats.org/officeDocument/2006/relationships/hyperlink" Target="https://de.wikipedia.org/wiki/Offshore-Windpark_Baltic_1" TargetMode="External"/><Relationship Id="rId11" Type="http://schemas.openxmlformats.org/officeDocument/2006/relationships/hyperlink" Target="https://de.wikipedia.org/wiki/Offshore-Windpark_Butendiek" TargetMode="External"/><Relationship Id="rId24" Type="http://schemas.openxmlformats.org/officeDocument/2006/relationships/hyperlink" Target="https://de.wikipedia.org/wiki/Offshore-Windpark_Nordsee_Ost" TargetMode="External"/><Relationship Id="rId32" Type="http://schemas.openxmlformats.org/officeDocument/2006/relationships/comments" Target="../comments1.xml"/><Relationship Id="rId5" Type="http://schemas.openxmlformats.org/officeDocument/2006/relationships/hyperlink" Target="https://de.wikipedia.org/wiki/Offshore-Windpark_Amrumbank_West" TargetMode="External"/><Relationship Id="rId15" Type="http://schemas.openxmlformats.org/officeDocument/2006/relationships/hyperlink" Target="https://de.wikipedia.org/wiki/Offshore-Windpark_Gode_Wind_I" TargetMode="External"/><Relationship Id="rId23" Type="http://schemas.openxmlformats.org/officeDocument/2006/relationships/hyperlink" Target="https://de.wikipedia.org/wiki/Offshore-Windpark_Nordsee_One" TargetMode="External"/><Relationship Id="rId28" Type="http://schemas.openxmlformats.org/officeDocument/2006/relationships/hyperlink" Target="https://de.wikipedia.org/wiki/Offshore-Windpark_Veja_Mate" TargetMode="External"/><Relationship Id="rId10" Type="http://schemas.openxmlformats.org/officeDocument/2006/relationships/hyperlink" Target="https://de.wikipedia.org/wiki/Offshore-Windpark_Borkum_Riffgrund_West" TargetMode="External"/><Relationship Id="rId19" Type="http://schemas.openxmlformats.org/officeDocument/2006/relationships/hyperlink" Target="https://de.wikipedia.org/wiki/Offshore-Windpark_Meerwind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s://de.wikipedia.org/wiki/Offshore-Windpark_alpha_ventus" TargetMode="External"/><Relationship Id="rId9" Type="http://schemas.openxmlformats.org/officeDocument/2006/relationships/hyperlink" Target="https://de.wikipedia.org/wiki/Offshore-Windpark_Borkum_Riffgrund" TargetMode="External"/><Relationship Id="rId14" Type="http://schemas.openxmlformats.org/officeDocument/2006/relationships/hyperlink" Target="https://de.wikipedia.org/wiki/Offshore-Windpark_Global_Tech_I" TargetMode="External"/><Relationship Id="rId22" Type="http://schemas.openxmlformats.org/officeDocument/2006/relationships/hyperlink" Target="https://de.wikipedia.org/wiki/Offshore-Windpark_N%C3%B6rdlicher_Grund" TargetMode="External"/><Relationship Id="rId27" Type="http://schemas.openxmlformats.org/officeDocument/2006/relationships/hyperlink" Target="https://de.wikipedia.org/wiki/Trianel_Windpark_Borkum" TargetMode="External"/><Relationship Id="rId30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4" workbookViewId="0">
      <selection activeCell="E16" sqref="E16"/>
    </sheetView>
  </sheetViews>
  <sheetFormatPr baseColWidth="10" defaultRowHeight="14.4"/>
  <cols>
    <col min="1" max="1" width="34.44140625" bestFit="1" customWidth="1"/>
    <col min="3" max="3" width="16.21875" bestFit="1" customWidth="1"/>
    <col min="5" max="5" width="13.6640625" bestFit="1" customWidth="1"/>
  </cols>
  <sheetData>
    <row r="1" spans="1:6">
      <c r="A1" s="3" t="s">
        <v>19</v>
      </c>
    </row>
    <row r="3" spans="1:6">
      <c r="A3" t="s">
        <v>0</v>
      </c>
      <c r="C3" s="1">
        <v>45803560</v>
      </c>
      <c r="D3" t="s">
        <v>16</v>
      </c>
    </row>
    <row r="4" spans="1:6">
      <c r="A4" t="s">
        <v>1</v>
      </c>
      <c r="C4" s="1">
        <v>2911907</v>
      </c>
      <c r="D4" t="s">
        <v>16</v>
      </c>
    </row>
    <row r="5" spans="1:6">
      <c r="C5" s="1"/>
    </row>
    <row r="6" spans="1:6">
      <c r="A6" t="s">
        <v>3</v>
      </c>
      <c r="C6" s="1">
        <v>29978635</v>
      </c>
      <c r="D6" t="s">
        <v>16</v>
      </c>
    </row>
    <row r="7" spans="1:6">
      <c r="A7" t="s">
        <v>2</v>
      </c>
      <c r="C7" s="1">
        <v>15089292</v>
      </c>
      <c r="D7" t="s">
        <v>16</v>
      </c>
    </row>
    <row r="8" spans="1:6">
      <c r="A8" t="s">
        <v>17</v>
      </c>
      <c r="C8" s="1">
        <v>34022</v>
      </c>
      <c r="D8" t="s">
        <v>16</v>
      </c>
    </row>
    <row r="9" spans="1:6">
      <c r="A9" t="s">
        <v>21</v>
      </c>
      <c r="C9" s="1">
        <f>+C6+C7</f>
        <v>45067927</v>
      </c>
      <c r="D9" t="s">
        <v>16</v>
      </c>
    </row>
    <row r="10" spans="1:6">
      <c r="C10" s="1"/>
    </row>
    <row r="11" spans="1:6">
      <c r="A11" t="s">
        <v>5</v>
      </c>
      <c r="C11" s="1">
        <v>25304000000</v>
      </c>
      <c r="D11" t="s">
        <v>13</v>
      </c>
      <c r="E11" s="1">
        <f>+C15/100*C32</f>
        <v>43787422280</v>
      </c>
      <c r="F11" t="s">
        <v>32</v>
      </c>
    </row>
    <row r="12" spans="1:6">
      <c r="A12" t="s">
        <v>7</v>
      </c>
      <c r="C12" s="1">
        <v>20020000000</v>
      </c>
      <c r="D12" t="s">
        <v>13</v>
      </c>
    </row>
    <row r="13" spans="1:6">
      <c r="A13" t="s">
        <v>6</v>
      </c>
      <c r="C13" s="1">
        <v>21843000000</v>
      </c>
      <c r="D13" t="s">
        <v>13</v>
      </c>
    </row>
    <row r="14" spans="1:6">
      <c r="C14" s="1"/>
    </row>
    <row r="15" spans="1:6">
      <c r="A15" t="s">
        <v>8</v>
      </c>
      <c r="C15" s="1">
        <v>625534604000</v>
      </c>
      <c r="D15" t="s">
        <v>15</v>
      </c>
      <c r="E15" t="s">
        <v>32</v>
      </c>
    </row>
    <row r="16" spans="1:6">
      <c r="A16" t="s">
        <v>9</v>
      </c>
      <c r="C16" s="1">
        <v>122978314000</v>
      </c>
      <c r="D16" t="s">
        <v>15</v>
      </c>
    </row>
    <row r="17" spans="1:4">
      <c r="C17" s="1"/>
    </row>
    <row r="18" spans="1:4">
      <c r="A18" t="s">
        <v>52</v>
      </c>
      <c r="C18" s="1">
        <f>+C15/(C6+C7)</f>
        <v>13879.817547410157</v>
      </c>
      <c r="D18" t="s">
        <v>15</v>
      </c>
    </row>
    <row r="19" spans="1:4">
      <c r="A19" t="s">
        <v>53</v>
      </c>
      <c r="C19" s="1"/>
    </row>
    <row r="20" spans="1:4">
      <c r="C20" s="1"/>
    </row>
    <row r="21" spans="1:4">
      <c r="A21" t="s">
        <v>10</v>
      </c>
      <c r="C21" s="1"/>
    </row>
    <row r="22" spans="1:4">
      <c r="A22" t="s">
        <v>11</v>
      </c>
      <c r="C22" s="2">
        <v>35</v>
      </c>
      <c r="D22" t="s">
        <v>14</v>
      </c>
    </row>
    <row r="23" spans="1:4">
      <c r="A23" t="s">
        <v>12</v>
      </c>
      <c r="C23" s="2">
        <v>7.3</v>
      </c>
      <c r="D23" t="s">
        <v>14</v>
      </c>
    </row>
    <row r="24" spans="1:4">
      <c r="A24" t="s">
        <v>41</v>
      </c>
      <c r="C24" s="2">
        <v>19.5</v>
      </c>
      <c r="D24" t="s">
        <v>42</v>
      </c>
    </row>
    <row r="25" spans="1:4">
      <c r="C25" s="1"/>
    </row>
    <row r="26" spans="1:4">
      <c r="A26" t="s">
        <v>18</v>
      </c>
      <c r="C26" s="1">
        <v>14152</v>
      </c>
      <c r="D26" t="s">
        <v>16</v>
      </c>
    </row>
    <row r="27" spans="1:4">
      <c r="C27" s="1"/>
    </row>
    <row r="28" spans="1:4">
      <c r="A28" s="3" t="s">
        <v>24</v>
      </c>
    </row>
    <row r="29" spans="1:4">
      <c r="A29" t="s">
        <v>25</v>
      </c>
      <c r="C29">
        <v>50</v>
      </c>
      <c r="D29" t="s">
        <v>13</v>
      </c>
    </row>
    <row r="30" spans="1:4">
      <c r="A30" t="s">
        <v>26</v>
      </c>
      <c r="C30">
        <v>800</v>
      </c>
      <c r="D30" t="s">
        <v>13</v>
      </c>
    </row>
    <row r="31" spans="1:4">
      <c r="A31" t="s">
        <v>27</v>
      </c>
      <c r="C31" s="2">
        <v>8.5</v>
      </c>
      <c r="D31" t="s">
        <v>14</v>
      </c>
    </row>
    <row r="32" spans="1:4">
      <c r="A32" t="s">
        <v>4</v>
      </c>
      <c r="C32">
        <v>7</v>
      </c>
      <c r="D32" t="s">
        <v>14</v>
      </c>
    </row>
    <row r="34" spans="1:5">
      <c r="A34" s="3" t="s">
        <v>20</v>
      </c>
      <c r="C34" s="1"/>
    </row>
    <row r="35" spans="1:5">
      <c r="A35" t="s">
        <v>28</v>
      </c>
      <c r="C35" s="1">
        <f>+C15/C3</f>
        <v>13656.899245386167</v>
      </c>
      <c r="D35" t="s">
        <v>22</v>
      </c>
    </row>
    <row r="36" spans="1:5">
      <c r="A36" t="s">
        <v>29</v>
      </c>
      <c r="C36" s="1">
        <f>+C16/C4</f>
        <v>42232.912658268273</v>
      </c>
      <c r="D36" t="s">
        <v>23</v>
      </c>
    </row>
    <row r="37" spans="1:5">
      <c r="C37" s="1"/>
    </row>
    <row r="38" spans="1:5">
      <c r="A38" t="s">
        <v>30</v>
      </c>
      <c r="C38" s="2">
        <f>+C35/365</f>
        <v>37.416162316126481</v>
      </c>
      <c r="D38" t="s">
        <v>22</v>
      </c>
    </row>
    <row r="39" spans="1:5">
      <c r="A39" t="s">
        <v>31</v>
      </c>
      <c r="C39" s="2">
        <f>+C36/365</f>
        <v>115.7066100226528</v>
      </c>
      <c r="D39" t="s">
        <v>23</v>
      </c>
    </row>
    <row r="40" spans="1:5">
      <c r="C40" s="2"/>
    </row>
    <row r="41" spans="1:5">
      <c r="A41" t="s">
        <v>36</v>
      </c>
      <c r="C41" s="2"/>
    </row>
    <row r="42" spans="1:5">
      <c r="A42" t="s">
        <v>12</v>
      </c>
      <c r="C42" s="2">
        <f>+C29/C23*100</f>
        <v>684.93150684931504</v>
      </c>
      <c r="D42" t="s">
        <v>15</v>
      </c>
    </row>
    <row r="43" spans="1:5">
      <c r="A43" t="s">
        <v>11</v>
      </c>
      <c r="C43" s="1">
        <f>+C30/C22*100</f>
        <v>2285.7142857142858</v>
      </c>
      <c r="D43" t="s">
        <v>15</v>
      </c>
      <c r="E43" t="s">
        <v>32</v>
      </c>
    </row>
    <row r="44" spans="1:5">
      <c r="C44" s="1"/>
    </row>
    <row r="45" spans="1:5">
      <c r="A45" t="s">
        <v>40</v>
      </c>
      <c r="C45" s="1"/>
    </row>
    <row r="46" spans="1:5">
      <c r="A46" t="s">
        <v>12</v>
      </c>
      <c r="C46" s="2">
        <f>+C23/(100/C38)</f>
        <v>2.731379849077233</v>
      </c>
      <c r="D46" t="s">
        <v>34</v>
      </c>
    </row>
    <row r="47" spans="1:5">
      <c r="A47" t="s">
        <v>11</v>
      </c>
      <c r="C47" s="2">
        <f>+C22/(100/C39)</f>
        <v>40.497313507928482</v>
      </c>
      <c r="D47" t="s">
        <v>34</v>
      </c>
    </row>
    <row r="48" spans="1:5">
      <c r="C48" s="2"/>
    </row>
    <row r="49" spans="1:4">
      <c r="A49" t="s">
        <v>35</v>
      </c>
      <c r="C49" s="1"/>
    </row>
    <row r="50" spans="1:4">
      <c r="A50" t="s">
        <v>12</v>
      </c>
      <c r="C50" s="2">
        <f>+C29/C46</f>
        <v>18.305765862954566</v>
      </c>
      <c r="D50" t="s">
        <v>33</v>
      </c>
    </row>
    <row r="51" spans="1:4">
      <c r="A51" t="s">
        <v>11</v>
      </c>
      <c r="C51" s="2">
        <f>+C30/C47</f>
        <v>19.754396790872995</v>
      </c>
      <c r="D51" t="s">
        <v>33</v>
      </c>
    </row>
    <row r="53" spans="1:4">
      <c r="A53" t="s">
        <v>37</v>
      </c>
    </row>
    <row r="54" spans="1:4">
      <c r="A54" t="s">
        <v>12</v>
      </c>
      <c r="C54" s="2">
        <f>+C3/C50</f>
        <v>2502138.4159999993</v>
      </c>
      <c r="D54" t="s">
        <v>39</v>
      </c>
    </row>
    <row r="55" spans="1:4">
      <c r="A55" t="s">
        <v>11</v>
      </c>
      <c r="C55" s="2">
        <f>+C4/C51</f>
        <v>147405.51335616439</v>
      </c>
      <c r="D55" t="s">
        <v>39</v>
      </c>
    </row>
    <row r="56" spans="1:4">
      <c r="C56" s="2"/>
    </row>
    <row r="57" spans="1:4">
      <c r="A57" t="s">
        <v>38</v>
      </c>
      <c r="C57" s="2"/>
    </row>
    <row r="58" spans="1:4">
      <c r="A58" t="s">
        <v>12</v>
      </c>
      <c r="C58" s="2">
        <f>+C54/C26</f>
        <v>176.80457998869412</v>
      </c>
      <c r="D58" t="s">
        <v>39</v>
      </c>
    </row>
    <row r="59" spans="1:4">
      <c r="A59" t="s">
        <v>11</v>
      </c>
      <c r="C59" s="2">
        <f>+C55/C26</f>
        <v>10.415878558236601</v>
      </c>
      <c r="D59" t="s">
        <v>39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G10" sqref="G10"/>
    </sheetView>
  </sheetViews>
  <sheetFormatPr baseColWidth="10" defaultRowHeight="14.4"/>
  <cols>
    <col min="1" max="1" width="34" bestFit="1" customWidth="1"/>
    <col min="3" max="3" width="14.6640625" bestFit="1" customWidth="1"/>
    <col min="4" max="4" width="20.5546875" bestFit="1" customWidth="1"/>
    <col min="6" max="6" width="12" bestFit="1" customWidth="1"/>
    <col min="8" max="8" width="12.44140625" bestFit="1" customWidth="1"/>
    <col min="9" max="9" width="24.88671875" bestFit="1" customWidth="1"/>
    <col min="10" max="10" width="28.109375" bestFit="1" customWidth="1"/>
    <col min="11" max="11" width="23.88671875" bestFit="1" customWidth="1"/>
    <col min="12" max="12" width="30.109375" bestFit="1" customWidth="1"/>
    <col min="13" max="13" width="33.44140625" bestFit="1" customWidth="1"/>
  </cols>
  <sheetData>
    <row r="1" spans="1:13">
      <c r="A1" t="s">
        <v>8</v>
      </c>
      <c r="C1" s="1">
        <v>625534604000</v>
      </c>
      <c r="D1" t="s">
        <v>15</v>
      </c>
    </row>
    <row r="2" spans="1:13">
      <c r="A2" t="s">
        <v>94</v>
      </c>
      <c r="C2" s="1">
        <f>+'Aktueller Stand'!C6+'Aktueller Stand'!C7</f>
        <v>45067927</v>
      </c>
      <c r="D2" t="s">
        <v>57</v>
      </c>
    </row>
    <row r="3" spans="1:13">
      <c r="A3" t="s">
        <v>58</v>
      </c>
      <c r="C3" s="1">
        <f>+C1/C2</f>
        <v>13879.817547410157</v>
      </c>
      <c r="D3" t="s">
        <v>95</v>
      </c>
      <c r="E3">
        <f>+C3/365</f>
        <v>38.026897390164812</v>
      </c>
      <c r="F3" t="s">
        <v>39</v>
      </c>
    </row>
    <row r="4" spans="1:13">
      <c r="A4" t="s">
        <v>41</v>
      </c>
      <c r="C4" s="2">
        <v>19.5</v>
      </c>
      <c r="D4" t="s">
        <v>42</v>
      </c>
    </row>
    <row r="5" spans="1:13">
      <c r="A5" t="s">
        <v>49</v>
      </c>
      <c r="C5">
        <f>44.86*12</f>
        <v>538.31999999999994</v>
      </c>
      <c r="D5" t="s">
        <v>48</v>
      </c>
    </row>
    <row r="6" spans="1:13">
      <c r="A6" t="s">
        <v>50</v>
      </c>
      <c r="C6" s="2">
        <v>22</v>
      </c>
      <c r="D6" t="s">
        <v>51</v>
      </c>
    </row>
    <row r="7" spans="1:13">
      <c r="A7" t="s">
        <v>89</v>
      </c>
      <c r="C7" s="1">
        <v>40000</v>
      </c>
    </row>
    <row r="8" spans="1:13">
      <c r="A8" t="s">
        <v>90</v>
      </c>
      <c r="C8" s="1">
        <v>150000</v>
      </c>
      <c r="D8" t="s">
        <v>15</v>
      </c>
    </row>
    <row r="9" spans="1:13" s="46" customFormat="1">
      <c r="A9" s="46" t="s">
        <v>203</v>
      </c>
      <c r="C9" s="1">
        <v>450</v>
      </c>
      <c r="D9" s="46" t="s">
        <v>15</v>
      </c>
    </row>
    <row r="10" spans="1:13" s="46" customFormat="1">
      <c r="A10" s="46" t="s">
        <v>204</v>
      </c>
      <c r="C10" s="1">
        <f>+C4*C9/100</f>
        <v>87.75</v>
      </c>
      <c r="D10" s="46" t="s">
        <v>197</v>
      </c>
    </row>
    <row r="11" spans="1:13">
      <c r="C11" s="1"/>
    </row>
    <row r="12" spans="1:13">
      <c r="A12" t="s">
        <v>45</v>
      </c>
      <c r="D12" t="s">
        <v>56</v>
      </c>
      <c r="E12" t="s">
        <v>46</v>
      </c>
      <c r="F12" t="s">
        <v>47</v>
      </c>
      <c r="G12" t="s">
        <v>48</v>
      </c>
      <c r="H12" t="s">
        <v>54</v>
      </c>
      <c r="I12" t="s">
        <v>97</v>
      </c>
      <c r="J12" t="s">
        <v>98</v>
      </c>
      <c r="K12" t="s">
        <v>91</v>
      </c>
      <c r="L12" t="s">
        <v>100</v>
      </c>
      <c r="M12" t="s">
        <v>198</v>
      </c>
    </row>
    <row r="13" spans="1:13">
      <c r="A13" t="s">
        <v>43</v>
      </c>
      <c r="B13" s="4">
        <v>1</v>
      </c>
      <c r="C13" t="s">
        <v>44</v>
      </c>
      <c r="D13" s="1">
        <f>+B13*C$2</f>
        <v>45067927</v>
      </c>
      <c r="E13" s="1">
        <f t="shared" ref="E13:E22" si="0">+C$1*B13*C$4/1000/100</f>
        <v>121979247.78</v>
      </c>
      <c r="F13" s="1">
        <f>+E13/1000</f>
        <v>121979.24778000001</v>
      </c>
      <c r="G13">
        <f>+F13/1000</f>
        <v>121.97924778000001</v>
      </c>
      <c r="H13" s="6">
        <f t="shared" ref="H13:H22" si="1">+G13/C$5</f>
        <v>0.22659245017833263</v>
      </c>
      <c r="I13" s="1">
        <f>+E13*1000/C$6</f>
        <v>5544511262.727273</v>
      </c>
      <c r="J13" s="1">
        <f>+I13/C$7/365</f>
        <v>379.76104539227896</v>
      </c>
      <c r="K13" s="1">
        <f>+C1</f>
        <v>625534604000</v>
      </c>
      <c r="L13" s="1">
        <f>+K13/C$8</f>
        <v>4170230.6933333334</v>
      </c>
      <c r="M13" s="1">
        <f>+C$11*L13</f>
        <v>0</v>
      </c>
    </row>
    <row r="14" spans="1:13">
      <c r="B14" s="5">
        <f t="shared" ref="B14:B22" si="2">+B13-0.1</f>
        <v>0.9</v>
      </c>
      <c r="C14" t="s">
        <v>44</v>
      </c>
      <c r="D14" s="1">
        <f t="shared" ref="D14:D22" si="3">+B14*C$2</f>
        <v>40561134.300000004</v>
      </c>
      <c r="E14" s="1">
        <f t="shared" si="0"/>
        <v>109781323.002</v>
      </c>
      <c r="F14" s="1">
        <f t="shared" ref="F14:G22" si="4">+E14/1000</f>
        <v>109781.323002</v>
      </c>
      <c r="G14">
        <f t="shared" si="4"/>
        <v>109.78132300200001</v>
      </c>
      <c r="H14" s="6">
        <f t="shared" si="1"/>
        <v>0.20393320516049937</v>
      </c>
      <c r="I14" s="1">
        <f t="shared" ref="I14:I22" si="5">+E14*1000/C$6</f>
        <v>4990060136.454545</v>
      </c>
      <c r="J14" s="1">
        <f t="shared" ref="J14:J23" si="6">+I14/C$7/365</f>
        <v>341.78494085305101</v>
      </c>
      <c r="K14" s="1">
        <f>+K$13*B14</f>
        <v>562981143600</v>
      </c>
      <c r="L14" s="1">
        <f t="shared" ref="L14:L23" si="7">+K14/C$8</f>
        <v>3753207.6239999998</v>
      </c>
      <c r="M14" s="1">
        <f t="shared" ref="M14:M23" si="8">+C$11*L14</f>
        <v>0</v>
      </c>
    </row>
    <row r="15" spans="1:13">
      <c r="B15" s="5">
        <f t="shared" si="2"/>
        <v>0.8</v>
      </c>
      <c r="C15" t="s">
        <v>44</v>
      </c>
      <c r="D15" s="1">
        <f t="shared" si="3"/>
        <v>36054341.600000001</v>
      </c>
      <c r="E15" s="1">
        <f t="shared" si="0"/>
        <v>97583398.223999992</v>
      </c>
      <c r="F15" s="1">
        <f t="shared" si="4"/>
        <v>97583.39822399999</v>
      </c>
      <c r="G15">
        <f t="shared" si="4"/>
        <v>97.583398223999993</v>
      </c>
      <c r="H15" s="6">
        <f t="shared" si="1"/>
        <v>0.18127396014266609</v>
      </c>
      <c r="I15" s="1">
        <f t="shared" si="5"/>
        <v>4435609010.1818171</v>
      </c>
      <c r="J15" s="1">
        <f t="shared" si="6"/>
        <v>303.80883631382306</v>
      </c>
      <c r="K15" s="1">
        <f t="shared" ref="K15:K23" si="9">+K$13*B15</f>
        <v>500427683200</v>
      </c>
      <c r="L15" s="1">
        <f t="shared" si="7"/>
        <v>3336184.5546666668</v>
      </c>
      <c r="M15" s="1">
        <f t="shared" si="8"/>
        <v>0</v>
      </c>
    </row>
    <row r="16" spans="1:13">
      <c r="B16" s="5">
        <f t="shared" si="2"/>
        <v>0.70000000000000007</v>
      </c>
      <c r="C16" t="s">
        <v>44</v>
      </c>
      <c r="D16" s="1">
        <f t="shared" si="3"/>
        <v>31547548.900000002</v>
      </c>
      <c r="E16" s="1">
        <f t="shared" si="0"/>
        <v>85385473.44600001</v>
      </c>
      <c r="F16" s="1">
        <f t="shared" si="4"/>
        <v>85385.473446000004</v>
      </c>
      <c r="G16">
        <f t="shared" si="4"/>
        <v>85.385473446000006</v>
      </c>
      <c r="H16" s="6">
        <f t="shared" si="1"/>
        <v>0.15861471512483286</v>
      </c>
      <c r="I16" s="1">
        <f t="shared" si="5"/>
        <v>3881157883.9090915</v>
      </c>
      <c r="J16" s="1">
        <f t="shared" si="6"/>
        <v>265.83273177459529</v>
      </c>
      <c r="K16" s="1">
        <f t="shared" si="9"/>
        <v>437874222800.00006</v>
      </c>
      <c r="L16" s="1">
        <f t="shared" si="7"/>
        <v>2919161.4853333337</v>
      </c>
      <c r="M16" s="1">
        <f t="shared" si="8"/>
        <v>0</v>
      </c>
    </row>
    <row r="17" spans="1:13">
      <c r="B17" s="5">
        <f t="shared" si="2"/>
        <v>0.60000000000000009</v>
      </c>
      <c r="C17" t="s">
        <v>44</v>
      </c>
      <c r="D17" s="1">
        <f t="shared" si="3"/>
        <v>27040756.200000003</v>
      </c>
      <c r="E17" s="1">
        <f t="shared" si="0"/>
        <v>73187548.668000013</v>
      </c>
      <c r="F17" s="1">
        <f t="shared" si="4"/>
        <v>73187.548668000018</v>
      </c>
      <c r="G17">
        <f t="shared" si="4"/>
        <v>73.187548668000019</v>
      </c>
      <c r="H17" s="6">
        <f t="shared" si="1"/>
        <v>0.1359554701069996</v>
      </c>
      <c r="I17" s="1">
        <f t="shared" si="5"/>
        <v>3326706757.6363645</v>
      </c>
      <c r="J17" s="1">
        <f t="shared" si="6"/>
        <v>227.8566272353674</v>
      </c>
      <c r="K17" s="1">
        <f t="shared" si="9"/>
        <v>375320762400.00006</v>
      </c>
      <c r="L17" s="1">
        <f t="shared" si="7"/>
        <v>2502138.4160000002</v>
      </c>
      <c r="M17" s="1">
        <f t="shared" si="8"/>
        <v>0</v>
      </c>
    </row>
    <row r="18" spans="1:13">
      <c r="B18" s="5">
        <f t="shared" si="2"/>
        <v>0.50000000000000011</v>
      </c>
      <c r="C18" t="s">
        <v>44</v>
      </c>
      <c r="D18" s="1">
        <f t="shared" si="3"/>
        <v>22533963.500000004</v>
      </c>
      <c r="E18" s="1">
        <f t="shared" si="0"/>
        <v>60989623.890000008</v>
      </c>
      <c r="F18" s="1">
        <f t="shared" si="4"/>
        <v>60989.62389000001</v>
      </c>
      <c r="G18">
        <f t="shared" si="4"/>
        <v>60.989623890000011</v>
      </c>
      <c r="H18" s="6">
        <f t="shared" si="1"/>
        <v>0.11329622508916633</v>
      </c>
      <c r="I18" s="1">
        <f t="shared" si="5"/>
        <v>2772255631.3636365</v>
      </c>
      <c r="J18" s="1">
        <f t="shared" si="6"/>
        <v>189.88052269613948</v>
      </c>
      <c r="K18" s="1">
        <f t="shared" si="9"/>
        <v>312767302000.00006</v>
      </c>
      <c r="L18" s="1">
        <f t="shared" si="7"/>
        <v>2085115.3466666671</v>
      </c>
      <c r="M18" s="1">
        <f t="shared" si="8"/>
        <v>0</v>
      </c>
    </row>
    <row r="19" spans="1:13">
      <c r="B19" s="5">
        <f t="shared" si="2"/>
        <v>0.40000000000000013</v>
      </c>
      <c r="C19" t="s">
        <v>44</v>
      </c>
      <c r="D19" s="1">
        <f t="shared" si="3"/>
        <v>18027170.800000004</v>
      </c>
      <c r="E19" s="1">
        <f t="shared" si="0"/>
        <v>48791699.112000018</v>
      </c>
      <c r="F19" s="1">
        <f t="shared" si="4"/>
        <v>48791.699112000017</v>
      </c>
      <c r="G19">
        <f t="shared" si="4"/>
        <v>48.791699112000018</v>
      </c>
      <c r="H19" s="6">
        <f t="shared" si="1"/>
        <v>9.0636980071333084E-2</v>
      </c>
      <c r="I19" s="1">
        <f t="shared" si="5"/>
        <v>2217804505.09091</v>
      </c>
      <c r="J19" s="1">
        <f t="shared" si="6"/>
        <v>151.90441815691165</v>
      </c>
      <c r="K19" s="1">
        <f t="shared" si="9"/>
        <v>250213841600.00009</v>
      </c>
      <c r="L19" s="1">
        <f t="shared" si="7"/>
        <v>1668092.2773333339</v>
      </c>
      <c r="M19" s="1">
        <f t="shared" si="8"/>
        <v>0</v>
      </c>
    </row>
    <row r="20" spans="1:13">
      <c r="B20" s="5">
        <f t="shared" si="2"/>
        <v>0.30000000000000016</v>
      </c>
      <c r="C20" t="s">
        <v>44</v>
      </c>
      <c r="D20" s="1">
        <f t="shared" si="3"/>
        <v>13520378.100000007</v>
      </c>
      <c r="E20" s="1">
        <f t="shared" si="0"/>
        <v>36593774.334000021</v>
      </c>
      <c r="F20" s="1">
        <f t="shared" si="4"/>
        <v>36593.774334000023</v>
      </c>
      <c r="G20">
        <f t="shared" si="4"/>
        <v>36.593774334000024</v>
      </c>
      <c r="H20" s="6">
        <f t="shared" si="1"/>
        <v>6.7977735053499827E-2</v>
      </c>
      <c r="I20" s="1">
        <f t="shared" si="5"/>
        <v>1663353378.8181829</v>
      </c>
      <c r="J20" s="1">
        <f t="shared" si="6"/>
        <v>113.92831361768377</v>
      </c>
      <c r="K20" s="1">
        <f t="shared" si="9"/>
        <v>187660381200.00009</v>
      </c>
      <c r="L20" s="1">
        <f t="shared" si="7"/>
        <v>1251069.2080000006</v>
      </c>
      <c r="M20" s="1">
        <f t="shared" si="8"/>
        <v>0</v>
      </c>
    </row>
    <row r="21" spans="1:13">
      <c r="B21" s="5">
        <f t="shared" si="2"/>
        <v>0.20000000000000015</v>
      </c>
      <c r="C21" t="s">
        <v>44</v>
      </c>
      <c r="D21" s="1">
        <f t="shared" si="3"/>
        <v>9013585.400000006</v>
      </c>
      <c r="E21" s="1">
        <f t="shared" si="0"/>
        <v>24395849.556000017</v>
      </c>
      <c r="F21" s="1">
        <f t="shared" si="4"/>
        <v>24395.849556000016</v>
      </c>
      <c r="G21">
        <f t="shared" si="4"/>
        <v>24.395849556000016</v>
      </c>
      <c r="H21" s="6">
        <f t="shared" si="1"/>
        <v>4.5318490035666556E-2</v>
      </c>
      <c r="I21" s="1">
        <f t="shared" si="5"/>
        <v>1108902252.5454552</v>
      </c>
      <c r="J21" s="1">
        <f t="shared" si="6"/>
        <v>75.952209078455837</v>
      </c>
      <c r="K21" s="1">
        <f t="shared" si="9"/>
        <v>125106920800.00009</v>
      </c>
      <c r="L21" s="1">
        <f t="shared" si="7"/>
        <v>834046.13866666728</v>
      </c>
      <c r="M21" s="1">
        <f t="shared" si="8"/>
        <v>0</v>
      </c>
    </row>
    <row r="22" spans="1:13">
      <c r="B22" s="5">
        <f t="shared" si="2"/>
        <v>0.10000000000000014</v>
      </c>
      <c r="C22" t="s">
        <v>44</v>
      </c>
      <c r="D22" s="1">
        <f t="shared" si="3"/>
        <v>4506792.7000000067</v>
      </c>
      <c r="E22" s="1">
        <f t="shared" si="0"/>
        <v>12197924.778000016</v>
      </c>
      <c r="F22" s="1">
        <f t="shared" si="4"/>
        <v>12197.924778000015</v>
      </c>
      <c r="G22">
        <f t="shared" si="4"/>
        <v>12.197924778000015</v>
      </c>
      <c r="H22" s="6">
        <f t="shared" si="1"/>
        <v>2.2659245017833288E-2</v>
      </c>
      <c r="I22" s="1">
        <f t="shared" si="5"/>
        <v>554451126.27272797</v>
      </c>
      <c r="J22" s="1">
        <f t="shared" si="6"/>
        <v>37.976104539227947</v>
      </c>
      <c r="K22" s="1">
        <f t="shared" si="9"/>
        <v>62553460400.000092</v>
      </c>
      <c r="L22" s="1">
        <f t="shared" si="7"/>
        <v>417023.06933333393</v>
      </c>
      <c r="M22" s="1">
        <f t="shared" si="8"/>
        <v>0</v>
      </c>
    </row>
    <row r="23" spans="1:13">
      <c r="B23" s="5">
        <v>0.01</v>
      </c>
      <c r="C23" t="s">
        <v>44</v>
      </c>
      <c r="D23" s="1">
        <f t="shared" ref="D23" si="10">+B23*C$2</f>
        <v>450679.27</v>
      </c>
      <c r="E23" s="1">
        <f t="shared" ref="E23" si="11">+C$1*B23*C$4/1000/100</f>
        <v>1219792.4778</v>
      </c>
      <c r="F23" s="1">
        <f t="shared" ref="F23" si="12">+E23/1000</f>
        <v>1219.7924777999999</v>
      </c>
      <c r="G23">
        <f t="shared" ref="G23" si="13">+F23/1000</f>
        <v>1.2197924778</v>
      </c>
      <c r="H23" s="6">
        <f t="shared" ref="H23" si="14">+G23/C$5</f>
        <v>2.2659245017833262E-3</v>
      </c>
      <c r="I23" s="1">
        <f t="shared" ref="I23" si="15">+E23*1000/C$6</f>
        <v>55445112.627272725</v>
      </c>
      <c r="J23" s="1">
        <f t="shared" si="6"/>
        <v>3.7976104539227897</v>
      </c>
      <c r="K23" s="1">
        <f t="shared" si="9"/>
        <v>6255346040</v>
      </c>
      <c r="L23" s="1">
        <f t="shared" si="7"/>
        <v>41702.306933333333</v>
      </c>
      <c r="M23" s="1">
        <f t="shared" si="8"/>
        <v>0</v>
      </c>
    </row>
    <row r="24" spans="1:13">
      <c r="A24" t="s">
        <v>99</v>
      </c>
      <c r="D24" t="s">
        <v>96</v>
      </c>
      <c r="I24" s="1"/>
    </row>
    <row r="25" spans="1:13">
      <c r="A25">
        <v>1</v>
      </c>
      <c r="B25" s="1"/>
      <c r="D25" s="12">
        <f t="shared" ref="D25:D65" si="16">+A25/C$2</f>
        <v>2.218872858296766E-8</v>
      </c>
      <c r="E25" s="1">
        <f>+A25*C$3*C$4/100/1000</f>
        <v>2.7065644217449805</v>
      </c>
      <c r="I25" s="1" t="s">
        <v>32</v>
      </c>
    </row>
    <row r="26" spans="1:13">
      <c r="A26" s="1">
        <v>25000</v>
      </c>
      <c r="B26" s="5"/>
      <c r="D26" s="12">
        <f t="shared" si="16"/>
        <v>5.5471821457419158E-4</v>
      </c>
      <c r="E26" s="1">
        <f t="shared" ref="E26:E65" si="17">+A26*C$3*C$4/100/1000</f>
        <v>67664.110543624527</v>
      </c>
      <c r="F26" s="2">
        <f>+E26/1000</f>
        <v>67.664110543624531</v>
      </c>
      <c r="G26">
        <f>+F26/1000</f>
        <v>6.7664110543624534E-2</v>
      </c>
      <c r="H26" s="7">
        <f t="shared" ref="H26:H65" si="18">+G26/C$5</f>
        <v>1.2569495939891614E-4</v>
      </c>
      <c r="I26" s="1">
        <f>+E26*1000/C$6</f>
        <v>3075641.3883465691</v>
      </c>
      <c r="J26" s="1">
        <f t="shared" ref="J26:J65" si="19">+I26/C$7/365</f>
        <v>0.21066036906483349</v>
      </c>
    </row>
    <row r="27" spans="1:13">
      <c r="A27" s="1">
        <f t="shared" ref="A27:A65" si="20">+A26+25000</f>
        <v>50000</v>
      </c>
      <c r="D27" s="12">
        <f t="shared" si="16"/>
        <v>1.1094364291483832E-3</v>
      </c>
      <c r="E27" s="1">
        <f t="shared" si="17"/>
        <v>135328.22108724905</v>
      </c>
      <c r="F27" s="2">
        <f t="shared" ref="F27:G65" si="21">+E27/1000</f>
        <v>135.32822108724906</v>
      </c>
      <c r="G27">
        <f t="shared" si="21"/>
        <v>0.13532822108724907</v>
      </c>
      <c r="H27" s="7">
        <f t="shared" si="18"/>
        <v>2.5138991879783228E-4</v>
      </c>
      <c r="I27" s="1">
        <f t="shared" ref="I27:I65" si="22">+E27*1000/C$6</f>
        <v>6151282.7766931383</v>
      </c>
      <c r="J27" s="1">
        <f t="shared" si="19"/>
        <v>0.42132073812966697</v>
      </c>
    </row>
    <row r="28" spans="1:13">
      <c r="A28" s="1">
        <f t="shared" si="20"/>
        <v>75000</v>
      </c>
      <c r="D28" s="12">
        <f t="shared" si="16"/>
        <v>1.6641546437225745E-3</v>
      </c>
      <c r="E28" s="1">
        <f t="shared" si="17"/>
        <v>202992.33163087355</v>
      </c>
      <c r="F28" s="2">
        <f t="shared" si="21"/>
        <v>202.99233163087357</v>
      </c>
      <c r="G28">
        <f t="shared" si="21"/>
        <v>0.20299233163087357</v>
      </c>
      <c r="H28" s="7">
        <f t="shared" si="18"/>
        <v>3.7708487819674842E-4</v>
      </c>
      <c r="I28" s="1">
        <f t="shared" si="22"/>
        <v>9226924.165039707</v>
      </c>
      <c r="J28" s="1">
        <f t="shared" si="19"/>
        <v>0.6319811071945004</v>
      </c>
    </row>
    <row r="29" spans="1:13">
      <c r="A29" s="1">
        <f t="shared" si="20"/>
        <v>100000</v>
      </c>
      <c r="C29" s="5"/>
      <c r="D29" s="12">
        <f t="shared" si="16"/>
        <v>2.2188728582967663E-3</v>
      </c>
      <c r="E29" s="1">
        <f t="shared" si="17"/>
        <v>270656.44217449811</v>
      </c>
      <c r="F29" s="2">
        <f t="shared" si="21"/>
        <v>270.65644217449812</v>
      </c>
      <c r="G29">
        <f t="shared" si="21"/>
        <v>0.27065644217449814</v>
      </c>
      <c r="H29" s="7">
        <f t="shared" si="18"/>
        <v>5.0277983759566456E-4</v>
      </c>
      <c r="I29" s="1">
        <f t="shared" si="22"/>
        <v>12302565.553386277</v>
      </c>
      <c r="J29" s="1">
        <f t="shared" si="19"/>
        <v>0.84264147625933394</v>
      </c>
    </row>
    <row r="30" spans="1:13">
      <c r="A30" s="1">
        <f t="shared" si="20"/>
        <v>125000</v>
      </c>
      <c r="D30" s="12">
        <f t="shared" si="16"/>
        <v>2.7735910728709577E-3</v>
      </c>
      <c r="E30" s="1">
        <f t="shared" si="17"/>
        <v>338320.55271812255</v>
      </c>
      <c r="F30" s="2">
        <f t="shared" si="21"/>
        <v>338.32055271812254</v>
      </c>
      <c r="G30">
        <f t="shared" si="21"/>
        <v>0.33832055271812256</v>
      </c>
      <c r="H30" s="7">
        <f t="shared" si="18"/>
        <v>6.2847479699458053E-4</v>
      </c>
      <c r="I30" s="1">
        <f t="shared" si="22"/>
        <v>15378206.941732842</v>
      </c>
      <c r="J30" s="1">
        <f t="shared" si="19"/>
        <v>1.0533018453241674</v>
      </c>
    </row>
    <row r="31" spans="1:13">
      <c r="A31" s="1">
        <f t="shared" si="20"/>
        <v>150000</v>
      </c>
      <c r="D31" s="12">
        <f t="shared" si="16"/>
        <v>3.3283092874451491E-3</v>
      </c>
      <c r="E31" s="1">
        <f t="shared" si="17"/>
        <v>405984.6632617471</v>
      </c>
      <c r="F31" s="2">
        <f t="shared" si="21"/>
        <v>405.98466326174713</v>
      </c>
      <c r="G31">
        <f t="shared" si="21"/>
        <v>0.40598466326174715</v>
      </c>
      <c r="H31" s="7">
        <f t="shared" si="18"/>
        <v>7.5416975639349684E-4</v>
      </c>
      <c r="I31" s="1">
        <f t="shared" si="22"/>
        <v>18453848.330079414</v>
      </c>
      <c r="J31" s="1">
        <f t="shared" si="19"/>
        <v>1.2639622143890008</v>
      </c>
    </row>
    <row r="32" spans="1:13">
      <c r="A32" s="1">
        <f t="shared" si="20"/>
        <v>175000</v>
      </c>
      <c r="D32" s="12">
        <f t="shared" si="16"/>
        <v>3.8830275020193409E-3</v>
      </c>
      <c r="E32" s="1">
        <f t="shared" si="17"/>
        <v>473648.77380537166</v>
      </c>
      <c r="F32" s="2">
        <f t="shared" si="21"/>
        <v>473.64877380537166</v>
      </c>
      <c r="G32">
        <f t="shared" si="21"/>
        <v>0.47364877380537168</v>
      </c>
      <c r="H32" s="7">
        <f t="shared" si="18"/>
        <v>8.7986471579241292E-4</v>
      </c>
      <c r="I32" s="1">
        <f t="shared" si="22"/>
        <v>21529489.718425985</v>
      </c>
      <c r="J32" s="1">
        <f t="shared" si="19"/>
        <v>1.4746225834538345</v>
      </c>
    </row>
    <row r="33" spans="1:10">
      <c r="A33" s="1">
        <f t="shared" si="20"/>
        <v>200000</v>
      </c>
      <c r="D33" s="12">
        <f t="shared" si="16"/>
        <v>4.4377457165935327E-3</v>
      </c>
      <c r="E33" s="1">
        <f t="shared" si="17"/>
        <v>541312.88434899622</v>
      </c>
      <c r="F33" s="2">
        <f t="shared" si="21"/>
        <v>541.31288434899625</v>
      </c>
      <c r="G33">
        <f t="shared" si="21"/>
        <v>0.54131288434899627</v>
      </c>
      <c r="H33" s="7">
        <f t="shared" si="18"/>
        <v>1.0055596751913291E-3</v>
      </c>
      <c r="I33" s="1">
        <f t="shared" si="22"/>
        <v>24605131.106772553</v>
      </c>
      <c r="J33" s="1">
        <f t="shared" si="19"/>
        <v>1.6852829525186679</v>
      </c>
    </row>
    <row r="34" spans="1:10">
      <c r="A34" s="1">
        <f t="shared" si="20"/>
        <v>225000</v>
      </c>
      <c r="D34" s="12">
        <f t="shared" si="16"/>
        <v>4.9924639311677236E-3</v>
      </c>
      <c r="E34" s="1">
        <f t="shared" si="17"/>
        <v>608976.99489262071</v>
      </c>
      <c r="F34" s="2">
        <f t="shared" si="21"/>
        <v>608.97699489262072</v>
      </c>
      <c r="G34">
        <f t="shared" si="21"/>
        <v>0.60897699489262069</v>
      </c>
      <c r="H34" s="7">
        <f t="shared" si="18"/>
        <v>1.1312546345902451E-3</v>
      </c>
      <c r="I34" s="1">
        <f t="shared" si="22"/>
        <v>27680772.495119121</v>
      </c>
      <c r="J34" s="1">
        <f t="shared" si="19"/>
        <v>1.8959433215835015</v>
      </c>
    </row>
    <row r="35" spans="1:10">
      <c r="A35" s="1">
        <f t="shared" si="20"/>
        <v>250000</v>
      </c>
      <c r="D35" s="12">
        <f t="shared" si="16"/>
        <v>5.5471821457419154E-3</v>
      </c>
      <c r="E35" s="1">
        <f t="shared" si="17"/>
        <v>676641.1054362451</v>
      </c>
      <c r="F35" s="2">
        <f t="shared" si="21"/>
        <v>676.64110543624508</v>
      </c>
      <c r="G35">
        <f t="shared" si="21"/>
        <v>0.67664110543624512</v>
      </c>
      <c r="H35" s="7">
        <f t="shared" si="18"/>
        <v>1.2569495939891611E-3</v>
      </c>
      <c r="I35" s="1">
        <f t="shared" si="22"/>
        <v>30756413.883465685</v>
      </c>
      <c r="J35" s="1">
        <f t="shared" si="19"/>
        <v>2.1066036906483347</v>
      </c>
    </row>
    <row r="36" spans="1:10">
      <c r="A36" s="1">
        <f t="shared" si="20"/>
        <v>275000</v>
      </c>
      <c r="D36" s="12">
        <f t="shared" si="16"/>
        <v>6.1019003603161072E-3</v>
      </c>
      <c r="E36" s="1">
        <f t="shared" si="17"/>
        <v>744305.21597986971</v>
      </c>
      <c r="F36" s="2">
        <f t="shared" si="21"/>
        <v>744.30521597986967</v>
      </c>
      <c r="G36">
        <f t="shared" si="21"/>
        <v>0.74430521597986965</v>
      </c>
      <c r="H36" s="7">
        <f t="shared" si="18"/>
        <v>1.3826445533880773E-3</v>
      </c>
      <c r="I36" s="1">
        <f t="shared" si="22"/>
        <v>33832055.27181226</v>
      </c>
      <c r="J36" s="1">
        <f t="shared" si="19"/>
        <v>2.3172640597131684</v>
      </c>
    </row>
    <row r="37" spans="1:10">
      <c r="A37" s="1">
        <f t="shared" si="20"/>
        <v>300000</v>
      </c>
      <c r="D37" s="12">
        <f t="shared" si="16"/>
        <v>6.6566185748902981E-3</v>
      </c>
      <c r="E37" s="1">
        <f t="shared" si="17"/>
        <v>811969.32652349421</v>
      </c>
      <c r="F37" s="2">
        <f t="shared" si="21"/>
        <v>811.96932652349426</v>
      </c>
      <c r="G37">
        <f t="shared" si="21"/>
        <v>0.81196932652349429</v>
      </c>
      <c r="H37" s="7">
        <f t="shared" si="18"/>
        <v>1.5083395127869937E-3</v>
      </c>
      <c r="I37" s="1">
        <f t="shared" si="22"/>
        <v>36907696.660158828</v>
      </c>
      <c r="J37" s="1">
        <f t="shared" si="19"/>
        <v>2.5279244287780016</v>
      </c>
    </row>
    <row r="38" spans="1:10">
      <c r="A38" s="1">
        <f t="shared" si="20"/>
        <v>325000</v>
      </c>
      <c r="D38" s="12">
        <f t="shared" si="16"/>
        <v>7.2113367894644899E-3</v>
      </c>
      <c r="E38" s="1">
        <f t="shared" si="17"/>
        <v>879633.43706711894</v>
      </c>
      <c r="F38" s="2">
        <f t="shared" si="21"/>
        <v>879.63343706711896</v>
      </c>
      <c r="G38">
        <f t="shared" si="21"/>
        <v>0.87963343706711894</v>
      </c>
      <c r="H38" s="7">
        <f t="shared" si="18"/>
        <v>1.6340344721859099E-3</v>
      </c>
      <c r="I38" s="1">
        <f t="shared" si="22"/>
        <v>39983338.048505403</v>
      </c>
      <c r="J38" s="1">
        <f t="shared" si="19"/>
        <v>2.7385847978428357</v>
      </c>
    </row>
    <row r="39" spans="1:10">
      <c r="A39" s="1">
        <f t="shared" si="20"/>
        <v>350000</v>
      </c>
      <c r="D39" s="12">
        <f t="shared" si="16"/>
        <v>7.7660550040386817E-3</v>
      </c>
      <c r="E39" s="1">
        <f t="shared" si="17"/>
        <v>947297.54761074332</v>
      </c>
      <c r="F39" s="2">
        <f t="shared" si="21"/>
        <v>947.29754761074332</v>
      </c>
      <c r="G39">
        <f t="shared" si="21"/>
        <v>0.94729754761074336</v>
      </c>
      <c r="H39" s="7">
        <f t="shared" si="18"/>
        <v>1.7597294315848258E-3</v>
      </c>
      <c r="I39" s="1">
        <f t="shared" si="22"/>
        <v>43058979.436851971</v>
      </c>
      <c r="J39" s="1">
        <f t="shared" si="19"/>
        <v>2.9492451669076689</v>
      </c>
    </row>
    <row r="40" spans="1:10">
      <c r="A40" s="1">
        <f t="shared" si="20"/>
        <v>375000</v>
      </c>
      <c r="D40" s="12">
        <f t="shared" si="16"/>
        <v>8.3207732186128727E-3</v>
      </c>
      <c r="E40" s="1">
        <f t="shared" si="17"/>
        <v>1014961.6581543677</v>
      </c>
      <c r="F40" s="2">
        <f t="shared" si="21"/>
        <v>1014.9616581543677</v>
      </c>
      <c r="G40">
        <f t="shared" si="21"/>
        <v>1.0149616581543677</v>
      </c>
      <c r="H40" s="7">
        <f t="shared" si="18"/>
        <v>1.8854243909837416E-3</v>
      </c>
      <c r="I40" s="1">
        <f t="shared" si="22"/>
        <v>46134620.825198531</v>
      </c>
      <c r="J40" s="1">
        <f t="shared" si="19"/>
        <v>3.1599055359725026</v>
      </c>
    </row>
    <row r="41" spans="1:10">
      <c r="A41" s="1">
        <f t="shared" si="20"/>
        <v>400000</v>
      </c>
      <c r="D41" s="12">
        <f t="shared" si="16"/>
        <v>8.8754914331870653E-3</v>
      </c>
      <c r="E41" s="1">
        <f t="shared" si="17"/>
        <v>1082625.7686979924</v>
      </c>
      <c r="F41" s="2">
        <f t="shared" si="21"/>
        <v>1082.6257686979925</v>
      </c>
      <c r="G41">
        <f t="shared" si="21"/>
        <v>1.0826257686979925</v>
      </c>
      <c r="H41" s="7">
        <f t="shared" si="18"/>
        <v>2.0111193503826582E-3</v>
      </c>
      <c r="I41" s="1">
        <f t="shared" si="22"/>
        <v>49210262.213545106</v>
      </c>
      <c r="J41" s="1">
        <f t="shared" si="19"/>
        <v>3.3705659050373358</v>
      </c>
    </row>
    <row r="42" spans="1:10">
      <c r="A42" s="1">
        <f t="shared" si="20"/>
        <v>425000</v>
      </c>
      <c r="D42" s="12">
        <f t="shared" si="16"/>
        <v>9.4302096477612563E-3</v>
      </c>
      <c r="E42" s="1">
        <f t="shared" si="17"/>
        <v>1150289.8792416167</v>
      </c>
      <c r="F42" s="2">
        <f t="shared" si="21"/>
        <v>1150.2898792416167</v>
      </c>
      <c r="G42">
        <f t="shared" si="21"/>
        <v>1.1502898792416167</v>
      </c>
      <c r="H42" s="7">
        <f t="shared" si="18"/>
        <v>2.136814309781574E-3</v>
      </c>
      <c r="I42" s="1">
        <f t="shared" si="22"/>
        <v>52285903.601891667</v>
      </c>
      <c r="J42" s="1">
        <f t="shared" si="19"/>
        <v>3.581226274102169</v>
      </c>
    </row>
    <row r="43" spans="1:10">
      <c r="A43" s="1">
        <f t="shared" si="20"/>
        <v>450000</v>
      </c>
      <c r="D43" s="12">
        <f t="shared" si="16"/>
        <v>9.9849278623354472E-3</v>
      </c>
      <c r="E43" s="1">
        <f t="shared" si="17"/>
        <v>1217953.9897852414</v>
      </c>
      <c r="F43" s="2">
        <f t="shared" si="21"/>
        <v>1217.9539897852414</v>
      </c>
      <c r="G43">
        <f t="shared" si="21"/>
        <v>1.2179539897852414</v>
      </c>
      <c r="H43" s="7">
        <f t="shared" si="18"/>
        <v>2.2625092691804902E-3</v>
      </c>
      <c r="I43" s="1">
        <f t="shared" si="22"/>
        <v>55361544.990238242</v>
      </c>
      <c r="J43" s="1">
        <f t="shared" si="19"/>
        <v>3.7918866431670031</v>
      </c>
    </row>
    <row r="44" spans="1:10">
      <c r="A44" s="1">
        <f t="shared" si="20"/>
        <v>475000</v>
      </c>
      <c r="D44" s="12">
        <f t="shared" si="16"/>
        <v>1.053964607690964E-2</v>
      </c>
      <c r="E44" s="1">
        <f t="shared" si="17"/>
        <v>1285618.1003288657</v>
      </c>
      <c r="F44" s="2">
        <f t="shared" si="21"/>
        <v>1285.6181003288657</v>
      </c>
      <c r="G44">
        <f t="shared" si="21"/>
        <v>1.2856181003288656</v>
      </c>
      <c r="H44" s="7">
        <f t="shared" si="18"/>
        <v>2.3882042285794059E-3</v>
      </c>
      <c r="I44" s="1">
        <f t="shared" si="22"/>
        <v>58437186.37858481</v>
      </c>
      <c r="J44" s="1">
        <f t="shared" si="19"/>
        <v>4.0025470122318367</v>
      </c>
    </row>
    <row r="45" spans="1:10">
      <c r="A45" s="1">
        <f t="shared" si="20"/>
        <v>500000</v>
      </c>
      <c r="D45" s="12">
        <f t="shared" si="16"/>
        <v>1.1094364291483831E-2</v>
      </c>
      <c r="E45" s="1">
        <f t="shared" si="17"/>
        <v>1353282.2108724902</v>
      </c>
      <c r="F45" s="2">
        <f t="shared" si="21"/>
        <v>1353.2822108724902</v>
      </c>
      <c r="G45">
        <f t="shared" si="21"/>
        <v>1.3532822108724902</v>
      </c>
      <c r="H45" s="7">
        <f t="shared" si="18"/>
        <v>2.5138991879783221E-3</v>
      </c>
      <c r="I45" s="1">
        <f t="shared" si="22"/>
        <v>61512827.76693137</v>
      </c>
      <c r="J45" s="1">
        <f t="shared" si="19"/>
        <v>4.2132073812966695</v>
      </c>
    </row>
    <row r="46" spans="1:10">
      <c r="A46" s="1">
        <f t="shared" si="20"/>
        <v>525000</v>
      </c>
      <c r="D46" s="12">
        <f t="shared" si="16"/>
        <v>1.1649082506058022E-2</v>
      </c>
      <c r="E46" s="1">
        <f t="shared" si="17"/>
        <v>1420946.3214161149</v>
      </c>
      <c r="F46" s="2">
        <f t="shared" si="21"/>
        <v>1420.9463214161149</v>
      </c>
      <c r="G46">
        <f t="shared" si="21"/>
        <v>1.4209463214161149</v>
      </c>
      <c r="H46" s="7">
        <f t="shared" si="18"/>
        <v>2.6395941473772383E-3</v>
      </c>
      <c r="I46" s="1">
        <f t="shared" si="22"/>
        <v>64588469.155277945</v>
      </c>
      <c r="J46" s="1">
        <f t="shared" si="19"/>
        <v>4.4238677503615031</v>
      </c>
    </row>
    <row r="47" spans="1:10">
      <c r="A47" s="1">
        <f t="shared" si="20"/>
        <v>550000</v>
      </c>
      <c r="D47" s="12">
        <f t="shared" si="16"/>
        <v>1.2203800720632214E-2</v>
      </c>
      <c r="E47" s="1">
        <f t="shared" si="17"/>
        <v>1488610.4319597394</v>
      </c>
      <c r="F47" s="2">
        <f t="shared" si="21"/>
        <v>1488.6104319597393</v>
      </c>
      <c r="G47">
        <f t="shared" si="21"/>
        <v>1.4886104319597393</v>
      </c>
      <c r="H47" s="7">
        <f t="shared" si="18"/>
        <v>2.7652891067761545E-3</v>
      </c>
      <c r="I47" s="1">
        <f t="shared" si="22"/>
        <v>67664110.54362452</v>
      </c>
      <c r="J47" s="1">
        <f t="shared" si="19"/>
        <v>4.6345281194263368</v>
      </c>
    </row>
    <row r="48" spans="1:10">
      <c r="A48" s="1">
        <f t="shared" si="20"/>
        <v>575000</v>
      </c>
      <c r="D48" s="12">
        <f t="shared" si="16"/>
        <v>1.2758518935206405E-2</v>
      </c>
      <c r="E48" s="1">
        <f t="shared" si="17"/>
        <v>1556274.5425033639</v>
      </c>
      <c r="F48" s="2">
        <f t="shared" si="21"/>
        <v>1556.2745425033638</v>
      </c>
      <c r="G48">
        <f t="shared" si="21"/>
        <v>1.5562745425033637</v>
      </c>
      <c r="H48" s="7">
        <f t="shared" si="18"/>
        <v>2.8909840661750703E-3</v>
      </c>
      <c r="I48" s="1">
        <f t="shared" si="22"/>
        <v>70739751.931971088</v>
      </c>
      <c r="J48" s="1">
        <f t="shared" si="19"/>
        <v>4.8451884884911705</v>
      </c>
    </row>
    <row r="49" spans="1:10">
      <c r="A49" s="1">
        <f t="shared" si="20"/>
        <v>600000</v>
      </c>
      <c r="D49" s="12">
        <f t="shared" si="16"/>
        <v>1.3313237149780596E-2</v>
      </c>
      <c r="E49" s="1">
        <f t="shared" si="17"/>
        <v>1623938.6530469884</v>
      </c>
      <c r="F49" s="2">
        <f t="shared" si="21"/>
        <v>1623.9386530469885</v>
      </c>
      <c r="G49">
        <f t="shared" si="21"/>
        <v>1.6239386530469886</v>
      </c>
      <c r="H49" s="7">
        <f t="shared" si="18"/>
        <v>3.0166790255739873E-3</v>
      </c>
      <c r="I49" s="1">
        <f t="shared" si="22"/>
        <v>73815393.320317656</v>
      </c>
      <c r="J49" s="1">
        <f t="shared" si="19"/>
        <v>5.0558488575560032</v>
      </c>
    </row>
    <row r="50" spans="1:10">
      <c r="A50" s="1">
        <f t="shared" si="20"/>
        <v>625000</v>
      </c>
      <c r="D50" s="12">
        <f t="shared" si="16"/>
        <v>1.3867955364354789E-2</v>
      </c>
      <c r="E50" s="1">
        <f t="shared" si="17"/>
        <v>1691602.7635906129</v>
      </c>
      <c r="F50" s="2">
        <f t="shared" si="21"/>
        <v>1691.602763590613</v>
      </c>
      <c r="G50">
        <f t="shared" si="21"/>
        <v>1.691602763590613</v>
      </c>
      <c r="H50" s="7">
        <f t="shared" si="18"/>
        <v>3.1423739849729031E-3</v>
      </c>
      <c r="I50" s="1">
        <f t="shared" si="22"/>
        <v>76891034.708664224</v>
      </c>
      <c r="J50" s="1">
        <f t="shared" si="19"/>
        <v>5.2665092266208369</v>
      </c>
    </row>
    <row r="51" spans="1:10">
      <c r="A51" s="1">
        <f t="shared" si="20"/>
        <v>650000</v>
      </c>
      <c r="D51" s="12">
        <f t="shared" si="16"/>
        <v>1.442267357892898E-2</v>
      </c>
      <c r="E51" s="1">
        <f t="shared" si="17"/>
        <v>1759266.8741342379</v>
      </c>
      <c r="F51" s="2">
        <f t="shared" si="21"/>
        <v>1759.2668741342379</v>
      </c>
      <c r="G51">
        <f t="shared" si="21"/>
        <v>1.7592668741342379</v>
      </c>
      <c r="H51" s="7">
        <f t="shared" si="18"/>
        <v>3.2680689443718197E-3</v>
      </c>
      <c r="I51" s="1">
        <f t="shared" si="22"/>
        <v>79966676.097010806</v>
      </c>
      <c r="J51" s="1">
        <f t="shared" si="19"/>
        <v>5.4771695956856714</v>
      </c>
    </row>
    <row r="52" spans="1:10">
      <c r="A52" s="1">
        <f t="shared" si="20"/>
        <v>675000</v>
      </c>
      <c r="D52" s="12">
        <f t="shared" si="16"/>
        <v>1.4977391793503171E-2</v>
      </c>
      <c r="E52" s="1">
        <f t="shared" si="17"/>
        <v>1826930.9846778619</v>
      </c>
      <c r="F52" s="2">
        <f t="shared" si="21"/>
        <v>1826.9309846778619</v>
      </c>
      <c r="G52">
        <f t="shared" si="21"/>
        <v>1.8269309846778619</v>
      </c>
      <c r="H52" s="7">
        <f t="shared" si="18"/>
        <v>3.3937639037707351E-3</v>
      </c>
      <c r="I52" s="1">
        <f t="shared" si="22"/>
        <v>83042317.485357359</v>
      </c>
      <c r="J52" s="1">
        <f t="shared" si="19"/>
        <v>5.6878299647505042</v>
      </c>
    </row>
    <row r="53" spans="1:10">
      <c r="A53" s="1">
        <f t="shared" si="20"/>
        <v>700000</v>
      </c>
      <c r="D53" s="12">
        <f t="shared" si="16"/>
        <v>1.5532110008077363E-2</v>
      </c>
      <c r="E53" s="1">
        <f t="shared" si="17"/>
        <v>1894595.0952214866</v>
      </c>
      <c r="F53" s="2">
        <f t="shared" si="21"/>
        <v>1894.5950952214866</v>
      </c>
      <c r="G53">
        <f t="shared" si="21"/>
        <v>1.8945950952214867</v>
      </c>
      <c r="H53" s="7">
        <f t="shared" si="18"/>
        <v>3.5194588631696517E-3</v>
      </c>
      <c r="I53" s="1">
        <f t="shared" si="22"/>
        <v>86117958.873703942</v>
      </c>
      <c r="J53" s="1">
        <f t="shared" si="19"/>
        <v>5.8984903338153378</v>
      </c>
    </row>
    <row r="54" spans="1:10">
      <c r="A54" s="1">
        <f t="shared" si="20"/>
        <v>725000</v>
      </c>
      <c r="D54" s="12">
        <f t="shared" si="16"/>
        <v>1.6086828222651554E-2</v>
      </c>
      <c r="E54" s="1">
        <f t="shared" si="17"/>
        <v>1962259.2057651109</v>
      </c>
      <c r="F54" s="2">
        <f t="shared" si="21"/>
        <v>1962.2592057651109</v>
      </c>
      <c r="G54">
        <f t="shared" si="21"/>
        <v>1.9622592057651109</v>
      </c>
      <c r="H54" s="7">
        <f t="shared" si="18"/>
        <v>3.6451538225685674E-3</v>
      </c>
      <c r="I54" s="1">
        <f t="shared" si="22"/>
        <v>89193600.262050495</v>
      </c>
      <c r="J54" s="1">
        <f t="shared" si="19"/>
        <v>6.1091507028801706</v>
      </c>
    </row>
    <row r="55" spans="1:10">
      <c r="A55" s="1">
        <f t="shared" si="20"/>
        <v>750000</v>
      </c>
      <c r="D55" s="12">
        <f t="shared" si="16"/>
        <v>1.6641546437225745E-2</v>
      </c>
      <c r="E55" s="1">
        <f t="shared" si="17"/>
        <v>2029923.3163087354</v>
      </c>
      <c r="F55" s="2">
        <f t="shared" si="21"/>
        <v>2029.9233163087354</v>
      </c>
      <c r="G55">
        <f t="shared" si="21"/>
        <v>2.0299233163087353</v>
      </c>
      <c r="H55" s="7">
        <f t="shared" si="18"/>
        <v>3.7708487819674832E-3</v>
      </c>
      <c r="I55" s="1">
        <f t="shared" si="22"/>
        <v>92269241.650397062</v>
      </c>
      <c r="J55" s="1">
        <f t="shared" si="19"/>
        <v>6.3198110719450051</v>
      </c>
    </row>
    <row r="56" spans="1:10">
      <c r="A56" s="1">
        <f t="shared" si="20"/>
        <v>775000</v>
      </c>
      <c r="D56" s="12">
        <f t="shared" si="16"/>
        <v>1.7196264651799936E-2</v>
      </c>
      <c r="E56" s="1">
        <f t="shared" si="17"/>
        <v>2097587.4268523604</v>
      </c>
      <c r="F56" s="2">
        <f t="shared" si="21"/>
        <v>2097.5874268523603</v>
      </c>
      <c r="G56">
        <f t="shared" si="21"/>
        <v>2.0975874268523604</v>
      </c>
      <c r="H56" s="7">
        <f t="shared" si="18"/>
        <v>3.8965437413664003E-3</v>
      </c>
      <c r="I56" s="1">
        <f t="shared" si="22"/>
        <v>95344883.038743645</v>
      </c>
      <c r="J56" s="1">
        <f t="shared" si="19"/>
        <v>6.5304714410098388</v>
      </c>
    </row>
    <row r="57" spans="1:10">
      <c r="A57" s="1">
        <f t="shared" si="20"/>
        <v>800000</v>
      </c>
      <c r="D57" s="12">
        <f t="shared" si="16"/>
        <v>1.7750982866374131E-2</v>
      </c>
      <c r="E57" s="1">
        <f t="shared" si="17"/>
        <v>2165251.5373959849</v>
      </c>
      <c r="F57" s="2">
        <f t="shared" si="21"/>
        <v>2165.251537395985</v>
      </c>
      <c r="G57">
        <f t="shared" si="21"/>
        <v>2.1652515373959851</v>
      </c>
      <c r="H57" s="7">
        <f t="shared" si="18"/>
        <v>4.0222387007653165E-3</v>
      </c>
      <c r="I57" s="1">
        <f t="shared" si="22"/>
        <v>98420524.427090213</v>
      </c>
      <c r="J57" s="1">
        <f t="shared" si="19"/>
        <v>6.7411318100746715</v>
      </c>
    </row>
    <row r="58" spans="1:10">
      <c r="A58" s="1">
        <f t="shared" si="20"/>
        <v>825000</v>
      </c>
      <c r="D58" s="12">
        <f t="shared" si="16"/>
        <v>1.8305701080948322E-2</v>
      </c>
      <c r="E58" s="1">
        <f t="shared" si="17"/>
        <v>2232915.6479396089</v>
      </c>
      <c r="F58" s="2">
        <f t="shared" si="21"/>
        <v>2232.9156479396088</v>
      </c>
      <c r="G58">
        <f t="shared" si="21"/>
        <v>2.2329156479396088</v>
      </c>
      <c r="H58" s="7">
        <f t="shared" si="18"/>
        <v>4.1479336601642318E-3</v>
      </c>
      <c r="I58" s="1">
        <f t="shared" si="22"/>
        <v>101496165.81543678</v>
      </c>
      <c r="J58" s="1">
        <f t="shared" si="19"/>
        <v>6.9517921791395052</v>
      </c>
    </row>
    <row r="59" spans="1:10">
      <c r="A59" s="1">
        <f t="shared" si="20"/>
        <v>850000</v>
      </c>
      <c r="D59" s="12">
        <f t="shared" si="16"/>
        <v>1.8860419295522513E-2</v>
      </c>
      <c r="E59" s="1">
        <f t="shared" si="17"/>
        <v>2300579.7584832334</v>
      </c>
      <c r="F59" s="2">
        <f t="shared" si="21"/>
        <v>2300.5797584832335</v>
      </c>
      <c r="G59">
        <f t="shared" si="21"/>
        <v>2.3005797584832335</v>
      </c>
      <c r="H59" s="7">
        <f t="shared" si="18"/>
        <v>4.273628619563148E-3</v>
      </c>
      <c r="I59" s="1">
        <f t="shared" si="22"/>
        <v>104571807.20378333</v>
      </c>
      <c r="J59" s="1">
        <f t="shared" si="19"/>
        <v>7.162452548204338</v>
      </c>
    </row>
    <row r="60" spans="1:10">
      <c r="A60" s="1">
        <f t="shared" si="20"/>
        <v>875000</v>
      </c>
      <c r="D60" s="12">
        <f t="shared" si="16"/>
        <v>1.9415137510096703E-2</v>
      </c>
      <c r="E60" s="1">
        <f t="shared" si="17"/>
        <v>2368243.8690268579</v>
      </c>
      <c r="F60" s="2">
        <f t="shared" si="21"/>
        <v>2368.2438690268577</v>
      </c>
      <c r="G60">
        <f t="shared" si="21"/>
        <v>2.3682438690268577</v>
      </c>
      <c r="H60" s="7">
        <f t="shared" si="18"/>
        <v>4.3993235789620633E-3</v>
      </c>
      <c r="I60" s="1">
        <f t="shared" si="22"/>
        <v>107647448.5921299</v>
      </c>
      <c r="J60" s="1">
        <f t="shared" si="19"/>
        <v>7.3731129172691707</v>
      </c>
    </row>
    <row r="61" spans="1:10">
      <c r="A61" s="1">
        <f t="shared" si="20"/>
        <v>900000</v>
      </c>
      <c r="D61" s="12">
        <f t="shared" si="16"/>
        <v>1.9969855724670894E-2</v>
      </c>
      <c r="E61" s="1">
        <f t="shared" si="17"/>
        <v>2435907.9795704829</v>
      </c>
      <c r="F61" s="2">
        <f t="shared" si="21"/>
        <v>2435.9079795704829</v>
      </c>
      <c r="G61">
        <f t="shared" si="21"/>
        <v>2.4359079795704828</v>
      </c>
      <c r="H61" s="7">
        <f t="shared" si="18"/>
        <v>4.5250185383609804E-3</v>
      </c>
      <c r="I61" s="1">
        <f t="shared" si="22"/>
        <v>110723089.98047648</v>
      </c>
      <c r="J61" s="1">
        <f t="shared" si="19"/>
        <v>7.5837732863340062</v>
      </c>
    </row>
    <row r="62" spans="1:10">
      <c r="A62" s="1">
        <f t="shared" si="20"/>
        <v>925000</v>
      </c>
      <c r="D62" s="12">
        <f t="shared" si="16"/>
        <v>2.0524573939245085E-2</v>
      </c>
      <c r="E62" s="1">
        <f t="shared" si="17"/>
        <v>2503572.0901141074</v>
      </c>
      <c r="F62" s="2">
        <f t="shared" si="21"/>
        <v>2503.5720901141071</v>
      </c>
      <c r="G62">
        <f t="shared" si="21"/>
        <v>2.503572090114107</v>
      </c>
      <c r="H62" s="7">
        <f t="shared" si="18"/>
        <v>4.6507134977598957E-3</v>
      </c>
      <c r="I62" s="1">
        <f t="shared" si="22"/>
        <v>113798731.36882305</v>
      </c>
      <c r="J62" s="1">
        <f t="shared" si="19"/>
        <v>7.7944336553988389</v>
      </c>
    </row>
    <row r="63" spans="1:10">
      <c r="A63" s="1">
        <f t="shared" si="20"/>
        <v>950000</v>
      </c>
      <c r="D63" s="12">
        <f t="shared" si="16"/>
        <v>2.107929215381928E-2</v>
      </c>
      <c r="E63" s="1">
        <f t="shared" si="17"/>
        <v>2571236.2006577314</v>
      </c>
      <c r="F63" s="2">
        <f t="shared" si="21"/>
        <v>2571.2362006577314</v>
      </c>
      <c r="G63">
        <f t="shared" si="21"/>
        <v>2.5712362006577312</v>
      </c>
      <c r="H63" s="7">
        <f t="shared" si="18"/>
        <v>4.7764084571588119E-3</v>
      </c>
      <c r="I63" s="1">
        <f t="shared" si="22"/>
        <v>116874372.75716962</v>
      </c>
      <c r="J63" s="1">
        <f t="shared" si="19"/>
        <v>8.0050940244636735</v>
      </c>
    </row>
    <row r="64" spans="1:10">
      <c r="A64" s="1">
        <f t="shared" si="20"/>
        <v>975000</v>
      </c>
      <c r="D64" s="12">
        <f t="shared" si="16"/>
        <v>2.1634010368393471E-2</v>
      </c>
      <c r="E64" s="1">
        <f t="shared" si="17"/>
        <v>2638900.3112013564</v>
      </c>
      <c r="F64" s="2">
        <f t="shared" si="21"/>
        <v>2638.9003112013565</v>
      </c>
      <c r="G64">
        <f t="shared" si="21"/>
        <v>2.6389003112013567</v>
      </c>
      <c r="H64" s="7">
        <f t="shared" si="18"/>
        <v>4.9021034165577298E-3</v>
      </c>
      <c r="I64" s="1">
        <f t="shared" si="22"/>
        <v>119950014.1455162</v>
      </c>
      <c r="J64" s="1">
        <f t="shared" si="19"/>
        <v>8.2157543935285062</v>
      </c>
    </row>
    <row r="65" spans="1:10">
      <c r="A65" s="1">
        <f t="shared" si="20"/>
        <v>1000000</v>
      </c>
      <c r="D65" s="12">
        <f t="shared" si="16"/>
        <v>2.2188728582967662E-2</v>
      </c>
      <c r="E65" s="1">
        <f t="shared" si="17"/>
        <v>2706564.4217449804</v>
      </c>
      <c r="F65" s="2">
        <f t="shared" si="21"/>
        <v>2706.5644217449803</v>
      </c>
      <c r="G65">
        <f t="shared" si="21"/>
        <v>2.7065644217449805</v>
      </c>
      <c r="H65" s="7">
        <f t="shared" si="18"/>
        <v>5.0277983759566443E-3</v>
      </c>
      <c r="I65" s="1">
        <f t="shared" si="22"/>
        <v>123025655.53386274</v>
      </c>
      <c r="J65" s="1">
        <f t="shared" si="19"/>
        <v>8.426414762593339</v>
      </c>
    </row>
    <row r="66" spans="1:10">
      <c r="A66" s="1"/>
      <c r="E66" s="1"/>
      <c r="F66" s="2"/>
      <c r="H66" s="7"/>
      <c r="I66" s="1"/>
      <c r="J66" s="1"/>
    </row>
    <row r="67" spans="1:10">
      <c r="A67" s="1"/>
      <c r="E67" s="1"/>
      <c r="F67" s="2"/>
      <c r="H67" s="7"/>
      <c r="I67" s="1"/>
      <c r="J67" s="1"/>
    </row>
    <row r="68" spans="1:10">
      <c r="A68" s="1"/>
      <c r="E68" s="1"/>
      <c r="F68" s="2"/>
      <c r="H68" s="7"/>
      <c r="I68" s="8"/>
      <c r="J68" s="1"/>
    </row>
    <row r="69" spans="1:10">
      <c r="A69" s="1"/>
      <c r="E69" s="1"/>
      <c r="F69" s="2"/>
      <c r="H69" s="7"/>
      <c r="I69" s="8"/>
      <c r="J69" s="1"/>
    </row>
    <row r="70" spans="1:10">
      <c r="A70" s="1"/>
      <c r="E70" s="1"/>
      <c r="F70" s="2"/>
      <c r="H70" s="7"/>
      <c r="I70" s="8"/>
      <c r="J70" s="1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3"/>
  <sheetViews>
    <sheetView workbookViewId="0">
      <selection activeCell="E104" sqref="E104"/>
    </sheetView>
  </sheetViews>
  <sheetFormatPr baseColWidth="10" defaultRowHeight="14.4"/>
  <cols>
    <col min="4" max="4" width="19.5546875" style="78" bestFit="1" customWidth="1"/>
    <col min="5" max="5" width="25.5546875" style="78" bestFit="1" customWidth="1"/>
  </cols>
  <sheetData>
    <row r="3" spans="2:7">
      <c r="B3" t="s">
        <v>229</v>
      </c>
    </row>
    <row r="4" spans="2:7">
      <c r="B4" t="s">
        <v>230</v>
      </c>
      <c r="F4">
        <v>50</v>
      </c>
    </row>
    <row r="5" spans="2:7">
      <c r="B5" t="s">
        <v>231</v>
      </c>
    </row>
    <row r="7" spans="2:7">
      <c r="B7" t="s">
        <v>232</v>
      </c>
      <c r="F7">
        <v>358</v>
      </c>
    </row>
    <row r="8" spans="2:7" s="46" customFormat="1">
      <c r="D8" s="78"/>
      <c r="E8" s="78"/>
    </row>
    <row r="9" spans="2:7">
      <c r="B9" t="s">
        <v>255</v>
      </c>
    </row>
    <row r="10" spans="2:7">
      <c r="C10" t="s">
        <v>234</v>
      </c>
      <c r="D10" s="78" t="s">
        <v>235</v>
      </c>
      <c r="E10" s="78" t="s">
        <v>236</v>
      </c>
    </row>
    <row r="11" spans="2:7">
      <c r="C11" s="6">
        <v>0.11799999999999999</v>
      </c>
      <c r="D11" s="78">
        <f>+F11*C11</f>
        <v>14160</v>
      </c>
      <c r="E11" s="77">
        <f>+F11-D11</f>
        <v>105840</v>
      </c>
      <c r="F11" s="1">
        <v>120000</v>
      </c>
      <c r="G11" t="s">
        <v>233</v>
      </c>
    </row>
    <row r="13" spans="2:7">
      <c r="B13" s="46" t="s">
        <v>237</v>
      </c>
      <c r="F13">
        <v>51</v>
      </c>
    </row>
    <row r="14" spans="2:7">
      <c r="B14" t="s">
        <v>239</v>
      </c>
      <c r="F14">
        <v>749</v>
      </c>
      <c r="G14" t="s">
        <v>15</v>
      </c>
    </row>
    <row r="15" spans="2:7">
      <c r="B15" t="s">
        <v>238</v>
      </c>
    </row>
    <row r="17" spans="2:7">
      <c r="B17" t="s">
        <v>240</v>
      </c>
      <c r="F17">
        <v>0.3</v>
      </c>
    </row>
    <row r="18" spans="2:7" s="46" customFormat="1">
      <c r="B18" s="46" t="s">
        <v>241</v>
      </c>
      <c r="D18" s="78"/>
      <c r="E18" s="78"/>
      <c r="F18" s="46">
        <v>0.7</v>
      </c>
    </row>
    <row r="19" spans="2:7">
      <c r="B19" t="s">
        <v>245</v>
      </c>
      <c r="F19">
        <v>400</v>
      </c>
      <c r="G19" t="s">
        <v>15</v>
      </c>
    </row>
    <row r="20" spans="2:7" s="46" customFormat="1">
      <c r="B20" s="46" t="s">
        <v>246</v>
      </c>
      <c r="D20" s="78"/>
      <c r="E20" s="78"/>
      <c r="F20" s="46">
        <v>700</v>
      </c>
      <c r="G20" s="46" t="s">
        <v>15</v>
      </c>
    </row>
    <row r="21" spans="2:7" s="46" customFormat="1">
      <c r="B21" s="46" t="s">
        <v>247</v>
      </c>
      <c r="D21" s="78"/>
      <c r="E21" s="78"/>
      <c r="F21" s="46">
        <v>21</v>
      </c>
      <c r="G21" s="46" t="s">
        <v>215</v>
      </c>
    </row>
    <row r="22" spans="2:7" s="46" customFormat="1">
      <c r="B22" s="46" t="s">
        <v>248</v>
      </c>
      <c r="D22" s="78"/>
      <c r="E22" s="78"/>
      <c r="F22" s="46">
        <f>+F21*5</f>
        <v>105</v>
      </c>
      <c r="G22" s="46" t="s">
        <v>215</v>
      </c>
    </row>
    <row r="23" spans="2:7" s="46" customFormat="1">
      <c r="B23" s="46" t="s">
        <v>249</v>
      </c>
      <c r="D23" s="78"/>
      <c r="E23" s="78"/>
      <c r="F23" s="46">
        <v>50</v>
      </c>
      <c r="G23" s="46" t="s">
        <v>197</v>
      </c>
    </row>
    <row r="24" spans="2:7" s="46" customFormat="1">
      <c r="B24" s="46" t="s">
        <v>250</v>
      </c>
      <c r="D24" s="78"/>
      <c r="E24" s="78"/>
      <c r="F24" s="46">
        <v>150</v>
      </c>
      <c r="G24" s="46" t="s">
        <v>197</v>
      </c>
    </row>
    <row r="26" spans="2:7">
      <c r="B26" t="s">
        <v>242</v>
      </c>
    </row>
    <row r="28" spans="2:7">
      <c r="C28" s="46" t="s">
        <v>32</v>
      </c>
      <c r="D28" s="78" t="s">
        <v>235</v>
      </c>
      <c r="E28" s="78" t="s">
        <v>236</v>
      </c>
    </row>
    <row r="29" spans="2:7">
      <c r="D29" s="78">
        <f>+D11*F18</f>
        <v>9912</v>
      </c>
      <c r="E29" s="78">
        <f>+E11*F17</f>
        <v>31752</v>
      </c>
    </row>
    <row r="31" spans="2:7">
      <c r="B31" s="46" t="s">
        <v>260</v>
      </c>
    </row>
    <row r="33" spans="2:7">
      <c r="D33" s="78" t="s">
        <v>243</v>
      </c>
      <c r="E33" s="78" t="s">
        <v>244</v>
      </c>
    </row>
    <row r="34" spans="2:7">
      <c r="D34" s="79">
        <f>+D29/F13</f>
        <v>194.35294117647058</v>
      </c>
      <c r="E34" s="79">
        <f>+E29/F13</f>
        <v>622.58823529411768</v>
      </c>
    </row>
    <row r="36" spans="2:7">
      <c r="B36" t="s">
        <v>251</v>
      </c>
    </row>
    <row r="37" spans="2:7">
      <c r="B37" t="s">
        <v>12</v>
      </c>
      <c r="F37">
        <f>+F19*F21/100</f>
        <v>84</v>
      </c>
      <c r="G37" t="s">
        <v>179</v>
      </c>
    </row>
    <row r="38" spans="2:7">
      <c r="B38" t="s">
        <v>11</v>
      </c>
      <c r="F38">
        <f>+F20*F22/100</f>
        <v>735</v>
      </c>
      <c r="G38" t="s">
        <v>179</v>
      </c>
    </row>
    <row r="39" spans="2:7" s="46" customFormat="1">
      <c r="D39" s="78"/>
      <c r="E39" s="78"/>
    </row>
    <row r="40" spans="2:7" s="46" customFormat="1">
      <c r="B40" s="46" t="s">
        <v>256</v>
      </c>
      <c r="D40" s="78"/>
      <c r="E40" s="78"/>
    </row>
    <row r="41" spans="2:7" s="46" customFormat="1">
      <c r="B41" s="46" t="s">
        <v>257</v>
      </c>
      <c r="C41" s="46" t="s">
        <v>259</v>
      </c>
      <c r="D41" s="78" t="s">
        <v>258</v>
      </c>
      <c r="E41" s="78" t="s">
        <v>261</v>
      </c>
    </row>
    <row r="42" spans="2:7" s="46" customFormat="1">
      <c r="B42" s="46" t="s">
        <v>12</v>
      </c>
      <c r="C42" s="46">
        <f>+F37/F23</f>
        <v>1.68</v>
      </c>
      <c r="D42" s="78">
        <v>100</v>
      </c>
      <c r="E42" s="80">
        <f>+E34/D42*C42</f>
        <v>10.459482352941178</v>
      </c>
    </row>
    <row r="43" spans="2:7" s="46" customFormat="1">
      <c r="B43" s="46" t="s">
        <v>11</v>
      </c>
      <c r="C43" s="46">
        <f>+F38/F24</f>
        <v>4.9000000000000004</v>
      </c>
      <c r="D43" s="78">
        <v>80</v>
      </c>
      <c r="E43" s="80">
        <f>+D34/D43*C43</f>
        <v>11.904117647058824</v>
      </c>
    </row>
    <row r="45" spans="2:7">
      <c r="B45" t="s">
        <v>252</v>
      </c>
    </row>
    <row r="46" spans="2:7">
      <c r="B46" t="s">
        <v>12</v>
      </c>
      <c r="F46" s="1">
        <f>+D42*F23</f>
        <v>5000</v>
      </c>
      <c r="G46" s="46" t="s">
        <v>179</v>
      </c>
    </row>
    <row r="47" spans="2:7">
      <c r="B47" t="s">
        <v>11</v>
      </c>
      <c r="F47" s="1">
        <f>+F24*D43</f>
        <v>12000</v>
      </c>
      <c r="G47" s="46" t="s">
        <v>179</v>
      </c>
    </row>
    <row r="49" spans="2:7">
      <c r="B49" t="s">
        <v>253</v>
      </c>
      <c r="F49" s="1">
        <f>SUM(F46:F48)/1000</f>
        <v>17</v>
      </c>
      <c r="G49" t="s">
        <v>254</v>
      </c>
    </row>
    <row r="51" spans="2:7">
      <c r="B51" t="s">
        <v>262</v>
      </c>
    </row>
    <row r="53" spans="2:7">
      <c r="B53" t="s">
        <v>263</v>
      </c>
      <c r="F53">
        <f>+F49*F13</f>
        <v>867</v>
      </c>
      <c r="G53" t="s">
        <v>254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B4" workbookViewId="0">
      <selection activeCell="I15" sqref="I15"/>
    </sheetView>
  </sheetViews>
  <sheetFormatPr baseColWidth="10" defaultRowHeight="14.4"/>
  <cols>
    <col min="1" max="1" width="23.88671875" bestFit="1" customWidth="1"/>
    <col min="3" max="3" width="14.6640625" bestFit="1" customWidth="1"/>
    <col min="5" max="5" width="12.6640625" bestFit="1" customWidth="1"/>
    <col min="6" max="6" width="13.77734375" bestFit="1" customWidth="1"/>
    <col min="7" max="7" width="19.77734375" bestFit="1" customWidth="1"/>
    <col min="8" max="8" width="19.33203125" bestFit="1" customWidth="1"/>
    <col min="9" max="9" width="17.109375" bestFit="1" customWidth="1"/>
    <col min="10" max="10" width="13.5546875" bestFit="1" customWidth="1"/>
    <col min="12" max="12" width="17.21875" bestFit="1" customWidth="1"/>
    <col min="13" max="13" width="14.33203125" bestFit="1" customWidth="1"/>
    <col min="18" max="18" width="13.77734375" bestFit="1" customWidth="1"/>
    <col min="19" max="19" width="14.6640625" bestFit="1" customWidth="1"/>
  </cols>
  <sheetData>
    <row r="1" spans="1:19">
      <c r="A1" t="s">
        <v>8</v>
      </c>
      <c r="C1" s="1">
        <v>625534604000</v>
      </c>
      <c r="D1" t="s">
        <v>15</v>
      </c>
      <c r="H1">
        <f>69000*1000*1000</f>
        <v>69000000000</v>
      </c>
      <c r="I1" t="s">
        <v>265</v>
      </c>
    </row>
    <row r="2" spans="1:19" s="46" customFormat="1">
      <c r="A2" s="46" t="s">
        <v>9</v>
      </c>
      <c r="C2" s="1"/>
    </row>
    <row r="3" spans="1:19">
      <c r="A3" t="s">
        <v>55</v>
      </c>
      <c r="C3" s="1">
        <f>+'Aktueller Stand'!C6+'Aktueller Stand'!C7</f>
        <v>45067927</v>
      </c>
      <c r="D3" t="s">
        <v>57</v>
      </c>
    </row>
    <row r="4" spans="1:19">
      <c r="A4" t="s">
        <v>58</v>
      </c>
      <c r="C4" s="1">
        <f>+C1/C3</f>
        <v>13879.817547410157</v>
      </c>
      <c r="D4" t="s">
        <v>15</v>
      </c>
      <c r="F4" t="s">
        <v>13</v>
      </c>
      <c r="G4" t="s">
        <v>92</v>
      </c>
    </row>
    <row r="5" spans="1:19">
      <c r="A5" t="s">
        <v>59</v>
      </c>
      <c r="C5" s="2">
        <v>1</v>
      </c>
      <c r="D5" t="s">
        <v>62</v>
      </c>
      <c r="F5">
        <v>55</v>
      </c>
      <c r="G5">
        <v>2.1</v>
      </c>
    </row>
    <row r="6" spans="1:19">
      <c r="A6" t="s">
        <v>61</v>
      </c>
      <c r="C6">
        <v>2.1</v>
      </c>
      <c r="D6" t="s">
        <v>63</v>
      </c>
    </row>
    <row r="7" spans="1:19">
      <c r="A7" t="s">
        <v>172</v>
      </c>
      <c r="C7" s="1">
        <v>14000</v>
      </c>
    </row>
    <row r="8" spans="1:19">
      <c r="L8" t="s">
        <v>78</v>
      </c>
    </row>
    <row r="9" spans="1:19">
      <c r="D9" t="s">
        <v>60</v>
      </c>
      <c r="E9" t="s">
        <v>93</v>
      </c>
      <c r="F9" t="s">
        <v>64</v>
      </c>
      <c r="G9" t="s">
        <v>65</v>
      </c>
      <c r="H9" t="s">
        <v>66</v>
      </c>
      <c r="I9" t="s">
        <v>86</v>
      </c>
      <c r="J9" t="s">
        <v>79</v>
      </c>
      <c r="K9" t="s">
        <v>80</v>
      </c>
      <c r="L9" t="s">
        <v>81</v>
      </c>
      <c r="M9" t="s">
        <v>82</v>
      </c>
      <c r="N9" t="s">
        <v>83</v>
      </c>
      <c r="O9" t="s">
        <v>84</v>
      </c>
      <c r="P9" t="s">
        <v>85</v>
      </c>
      <c r="Q9" t="s">
        <v>88</v>
      </c>
      <c r="R9" t="s">
        <v>64</v>
      </c>
      <c r="S9" t="s">
        <v>87</v>
      </c>
    </row>
    <row r="10" spans="1:19">
      <c r="A10" t="s">
        <v>43</v>
      </c>
      <c r="B10" s="4">
        <v>1</v>
      </c>
      <c r="C10" t="s">
        <v>59</v>
      </c>
      <c r="D10" s="1">
        <f>+B10*C$3</f>
        <v>45067927</v>
      </c>
      <c r="E10" s="1">
        <f>+C$1*B10*C$5/100</f>
        <v>6255346040</v>
      </c>
      <c r="F10" s="1">
        <f>+E10/C$6</f>
        <v>2978736209.5238094</v>
      </c>
      <c r="G10" s="1">
        <f>+F10/C$7</f>
        <v>212766.87210884353</v>
      </c>
      <c r="H10" s="9">
        <f>+G10/365</f>
        <v>582.92293728450284</v>
      </c>
      <c r="I10">
        <f>+H10/F$29</f>
        <v>0.83274705326357545</v>
      </c>
      <c r="J10" s="1">
        <f>+C$27*I10</f>
        <v>4.163735266317877</v>
      </c>
      <c r="K10" s="8">
        <v>84</v>
      </c>
      <c r="L10">
        <v>11</v>
      </c>
      <c r="M10">
        <v>8</v>
      </c>
      <c r="N10">
        <v>3</v>
      </c>
      <c r="O10">
        <f>+L10*D$24</f>
        <v>26.950000000000003</v>
      </c>
      <c r="P10">
        <f>+M10*C$25</f>
        <v>20.48</v>
      </c>
      <c r="Q10" s="10">
        <f>+O10*P10</f>
        <v>551.93600000000004</v>
      </c>
      <c r="R10">
        <f>+M10*L10*F$26</f>
        <v>12320</v>
      </c>
      <c r="S10" s="1">
        <f>+R10/H10</f>
        <v>21.134869143066624</v>
      </c>
    </row>
    <row r="11" spans="1:19">
      <c r="B11" s="5">
        <f t="shared" ref="B11:B19" si="0">+B10-0.1</f>
        <v>0.9</v>
      </c>
      <c r="C11" t="s">
        <v>59</v>
      </c>
      <c r="D11" s="1">
        <f t="shared" ref="D11:D18" si="1">+B11*C$3</f>
        <v>40561134.300000004</v>
      </c>
      <c r="E11" s="1">
        <f t="shared" ref="E11:E18" si="2">+C$1*B11*C$5/100</f>
        <v>5629811436</v>
      </c>
      <c r="F11" s="1">
        <f t="shared" ref="F11:F18" si="3">+E11/C$6</f>
        <v>2680862588.5714283</v>
      </c>
      <c r="G11" s="1">
        <f t="shared" ref="G11:G18" si="4">+F11/C$7</f>
        <v>191490.18489795917</v>
      </c>
      <c r="H11" s="9">
        <f t="shared" ref="H11:H18" si="5">+G11/365</f>
        <v>524.63064355605252</v>
      </c>
      <c r="I11">
        <f t="shared" ref="I11:I18" si="6">+H11/F$29</f>
        <v>0.74947234793721784</v>
      </c>
      <c r="J11" s="1">
        <f t="shared" ref="J11:J18" si="7">+C$27*I11</f>
        <v>3.747361739686089</v>
      </c>
      <c r="K11" s="8">
        <f t="shared" ref="K11:K18" si="8">+J11*4</f>
        <v>14.989446958744356</v>
      </c>
      <c r="L11">
        <v>10</v>
      </c>
      <c r="M11">
        <v>8</v>
      </c>
      <c r="N11">
        <v>3</v>
      </c>
      <c r="O11">
        <f t="shared" ref="O11:O18" si="9">+L11*D$24</f>
        <v>24.5</v>
      </c>
      <c r="P11">
        <f t="shared" ref="P11:P18" si="10">+M11*C$25</f>
        <v>20.48</v>
      </c>
      <c r="Q11" s="10">
        <f t="shared" ref="Q11:Q18" si="11">+O11*P11</f>
        <v>501.76</v>
      </c>
      <c r="R11">
        <f t="shared" ref="R11:R18" si="12">+M11*L11*F$26</f>
        <v>11200</v>
      </c>
      <c r="S11" s="1">
        <f t="shared" ref="S11:S18" si="13">+R11/H11</f>
        <v>21.348352669764267</v>
      </c>
    </row>
    <row r="12" spans="1:19">
      <c r="B12" s="5">
        <f t="shared" si="0"/>
        <v>0.8</v>
      </c>
      <c r="C12" t="s">
        <v>59</v>
      </c>
      <c r="D12" s="1">
        <f t="shared" si="1"/>
        <v>36054341.600000001</v>
      </c>
      <c r="E12" s="1">
        <f t="shared" si="2"/>
        <v>5004276832</v>
      </c>
      <c r="F12" s="1">
        <f t="shared" si="3"/>
        <v>2382988967.6190476</v>
      </c>
      <c r="G12" s="1">
        <f t="shared" si="4"/>
        <v>170213.49768707482</v>
      </c>
      <c r="H12" s="9">
        <f t="shared" si="5"/>
        <v>466.33834982760226</v>
      </c>
      <c r="I12">
        <f t="shared" si="6"/>
        <v>0.66619764261086034</v>
      </c>
      <c r="J12" s="1">
        <f t="shared" si="7"/>
        <v>3.3309882130543018</v>
      </c>
      <c r="K12" s="8">
        <f t="shared" si="8"/>
        <v>13.323952852217207</v>
      </c>
      <c r="L12">
        <v>9</v>
      </c>
      <c r="M12">
        <v>8</v>
      </c>
      <c r="N12">
        <v>3</v>
      </c>
      <c r="O12">
        <f t="shared" si="9"/>
        <v>22.05</v>
      </c>
      <c r="P12">
        <f t="shared" si="10"/>
        <v>20.48</v>
      </c>
      <c r="Q12" s="10">
        <f t="shared" si="11"/>
        <v>451.584</v>
      </c>
      <c r="R12">
        <f t="shared" si="12"/>
        <v>10080</v>
      </c>
      <c r="S12" s="1">
        <f t="shared" si="13"/>
        <v>21.615207078136322</v>
      </c>
    </row>
    <row r="13" spans="1:19">
      <c r="B13" s="5">
        <f t="shared" si="0"/>
        <v>0.70000000000000007</v>
      </c>
      <c r="C13" t="s">
        <v>59</v>
      </c>
      <c r="D13" s="1">
        <f t="shared" si="1"/>
        <v>31547548.900000002</v>
      </c>
      <c r="E13" s="1">
        <f t="shared" si="2"/>
        <v>4378742228.000001</v>
      </c>
      <c r="F13" s="1">
        <f t="shared" si="3"/>
        <v>2085115346.666667</v>
      </c>
      <c r="G13" s="1">
        <f t="shared" si="4"/>
        <v>148936.8104761905</v>
      </c>
      <c r="H13" s="9">
        <f t="shared" si="5"/>
        <v>408.04605609915205</v>
      </c>
      <c r="I13">
        <f t="shared" si="6"/>
        <v>0.58292293728450295</v>
      </c>
      <c r="J13" s="1">
        <f t="shared" si="7"/>
        <v>2.9146146864225146</v>
      </c>
      <c r="K13" s="8">
        <f t="shared" si="8"/>
        <v>11.658458745690059</v>
      </c>
      <c r="L13">
        <v>8</v>
      </c>
      <c r="M13">
        <v>8</v>
      </c>
      <c r="N13">
        <v>3</v>
      </c>
      <c r="O13">
        <f t="shared" si="9"/>
        <v>19.600000000000001</v>
      </c>
      <c r="P13">
        <f t="shared" si="10"/>
        <v>20.48</v>
      </c>
      <c r="Q13" s="10">
        <f t="shared" si="11"/>
        <v>401.40800000000002</v>
      </c>
      <c r="R13">
        <f t="shared" si="12"/>
        <v>8960</v>
      </c>
      <c r="S13" s="1">
        <f t="shared" si="13"/>
        <v>21.958305603186098</v>
      </c>
    </row>
    <row r="14" spans="1:19">
      <c r="B14" s="5">
        <f t="shared" si="0"/>
        <v>0.60000000000000009</v>
      </c>
      <c r="C14" t="s">
        <v>59</v>
      </c>
      <c r="D14" s="1">
        <f t="shared" si="1"/>
        <v>27040756.200000003</v>
      </c>
      <c r="E14" s="1">
        <f t="shared" si="2"/>
        <v>3753207624.0000005</v>
      </c>
      <c r="F14" s="1">
        <f t="shared" si="3"/>
        <v>1787241725.7142859</v>
      </c>
      <c r="G14" s="1">
        <f t="shared" si="4"/>
        <v>127660.12326530613</v>
      </c>
      <c r="H14" s="9">
        <f t="shared" si="5"/>
        <v>349.75376237070174</v>
      </c>
      <c r="I14">
        <f t="shared" si="6"/>
        <v>0.49964823195814534</v>
      </c>
      <c r="J14" s="1">
        <f t="shared" si="7"/>
        <v>2.4982411597907266</v>
      </c>
      <c r="K14" s="8">
        <f t="shared" si="8"/>
        <v>9.9929646391629063</v>
      </c>
      <c r="L14">
        <v>7</v>
      </c>
      <c r="M14">
        <v>8</v>
      </c>
      <c r="N14">
        <v>3</v>
      </c>
      <c r="O14">
        <f t="shared" si="9"/>
        <v>17.150000000000002</v>
      </c>
      <c r="P14">
        <f t="shared" si="10"/>
        <v>20.48</v>
      </c>
      <c r="Q14" s="10">
        <f t="shared" si="11"/>
        <v>351.23200000000003</v>
      </c>
      <c r="R14">
        <f t="shared" si="12"/>
        <v>7840</v>
      </c>
      <c r="S14" s="1">
        <f t="shared" si="13"/>
        <v>22.415770303252479</v>
      </c>
    </row>
    <row r="15" spans="1:19">
      <c r="B15" s="5">
        <f t="shared" si="0"/>
        <v>0.50000000000000011</v>
      </c>
      <c r="C15" t="s">
        <v>59</v>
      </c>
      <c r="D15" s="1">
        <f t="shared" si="1"/>
        <v>22533963.500000004</v>
      </c>
      <c r="E15" s="1">
        <f t="shared" si="2"/>
        <v>3127673020.0000005</v>
      </c>
      <c r="F15" s="1">
        <f t="shared" si="3"/>
        <v>1489368104.761905</v>
      </c>
      <c r="G15" s="1">
        <f t="shared" si="4"/>
        <v>106383.43605442178</v>
      </c>
      <c r="H15" s="9">
        <f t="shared" si="5"/>
        <v>291.46146864225142</v>
      </c>
      <c r="I15">
        <f t="shared" si="6"/>
        <v>0.41637352663178773</v>
      </c>
      <c r="J15" s="1">
        <f t="shared" si="7"/>
        <v>2.0818676331589385</v>
      </c>
      <c r="K15" s="8">
        <f t="shared" si="8"/>
        <v>8.3274705326357541</v>
      </c>
      <c r="L15">
        <v>7</v>
      </c>
      <c r="M15">
        <v>6</v>
      </c>
      <c r="N15">
        <v>3</v>
      </c>
      <c r="O15">
        <f t="shared" si="9"/>
        <v>17.150000000000002</v>
      </c>
      <c r="P15">
        <f t="shared" si="10"/>
        <v>15.36</v>
      </c>
      <c r="Q15" s="10">
        <f t="shared" si="11"/>
        <v>263.42400000000004</v>
      </c>
      <c r="R15">
        <f t="shared" si="12"/>
        <v>5880</v>
      </c>
      <c r="S15" s="1">
        <f t="shared" si="13"/>
        <v>20.174193272927234</v>
      </c>
    </row>
    <row r="16" spans="1:19">
      <c r="B16" s="5">
        <f t="shared" si="0"/>
        <v>0.40000000000000013</v>
      </c>
      <c r="C16" t="s">
        <v>59</v>
      </c>
      <c r="D16" s="1">
        <f t="shared" si="1"/>
        <v>18027170.800000004</v>
      </c>
      <c r="E16" s="1">
        <f t="shared" si="2"/>
        <v>2502138416.000001</v>
      </c>
      <c r="F16" s="1">
        <f t="shared" si="3"/>
        <v>1191494483.8095243</v>
      </c>
      <c r="G16" s="1">
        <f t="shared" si="4"/>
        <v>85106.748843537454</v>
      </c>
      <c r="H16" s="9">
        <f t="shared" si="5"/>
        <v>233.16917491380124</v>
      </c>
      <c r="I16">
        <f t="shared" si="6"/>
        <v>0.33309882130543034</v>
      </c>
      <c r="J16" s="1">
        <f t="shared" si="7"/>
        <v>1.6654941065271518</v>
      </c>
      <c r="K16" s="8">
        <f t="shared" si="8"/>
        <v>6.6619764261086072</v>
      </c>
      <c r="L16">
        <v>6</v>
      </c>
      <c r="M16">
        <v>6</v>
      </c>
      <c r="N16">
        <v>3</v>
      </c>
      <c r="O16">
        <f t="shared" si="9"/>
        <v>14.700000000000001</v>
      </c>
      <c r="P16">
        <f t="shared" si="10"/>
        <v>15.36</v>
      </c>
      <c r="Q16" s="10">
        <f t="shared" si="11"/>
        <v>225.792</v>
      </c>
      <c r="R16">
        <f t="shared" si="12"/>
        <v>5040</v>
      </c>
      <c r="S16" s="1">
        <f t="shared" si="13"/>
        <v>21.615207078136311</v>
      </c>
    </row>
    <row r="17" spans="1:19">
      <c r="B17" s="5">
        <f t="shared" si="0"/>
        <v>0.30000000000000016</v>
      </c>
      <c r="C17" t="s">
        <v>59</v>
      </c>
      <c r="D17" s="1">
        <f t="shared" si="1"/>
        <v>13520378.100000007</v>
      </c>
      <c r="E17" s="1">
        <f t="shared" si="2"/>
        <v>1876603812.000001</v>
      </c>
      <c r="F17" s="1">
        <f t="shared" si="3"/>
        <v>893620862.85714328</v>
      </c>
      <c r="G17" s="1">
        <f t="shared" si="4"/>
        <v>63830.061632653094</v>
      </c>
      <c r="H17" s="9">
        <f t="shared" si="5"/>
        <v>174.87688118535095</v>
      </c>
      <c r="I17">
        <f t="shared" si="6"/>
        <v>0.24982411597907278</v>
      </c>
      <c r="J17" s="1">
        <f t="shared" si="7"/>
        <v>1.249120579895364</v>
      </c>
      <c r="K17" s="8">
        <f t="shared" si="8"/>
        <v>4.9964823195814558</v>
      </c>
      <c r="L17">
        <v>6</v>
      </c>
      <c r="M17">
        <v>6</v>
      </c>
      <c r="N17">
        <v>3</v>
      </c>
      <c r="O17">
        <f t="shared" si="9"/>
        <v>14.700000000000001</v>
      </c>
      <c r="P17">
        <f t="shared" si="10"/>
        <v>15.36</v>
      </c>
      <c r="Q17" s="10">
        <f t="shared" si="11"/>
        <v>225.792</v>
      </c>
      <c r="R17">
        <f t="shared" si="12"/>
        <v>5040</v>
      </c>
      <c r="S17" s="1">
        <f t="shared" si="13"/>
        <v>28.820276104181744</v>
      </c>
    </row>
    <row r="18" spans="1:19">
      <c r="B18" s="5">
        <f t="shared" si="0"/>
        <v>0.20000000000000015</v>
      </c>
      <c r="C18" t="s">
        <v>59</v>
      </c>
      <c r="D18" s="1">
        <f t="shared" si="1"/>
        <v>9013585.400000006</v>
      </c>
      <c r="E18" s="1">
        <f t="shared" si="2"/>
        <v>1251069208.000001</v>
      </c>
      <c r="F18" s="1">
        <f t="shared" si="3"/>
        <v>595747241.90476239</v>
      </c>
      <c r="G18" s="1">
        <f t="shared" si="4"/>
        <v>42553.374421768742</v>
      </c>
      <c r="H18" s="9">
        <f t="shared" si="5"/>
        <v>116.58458745690066</v>
      </c>
      <c r="I18">
        <f t="shared" si="6"/>
        <v>0.16654941065271522</v>
      </c>
      <c r="J18" s="1">
        <f t="shared" si="7"/>
        <v>0.83274705326357612</v>
      </c>
      <c r="K18" s="8">
        <f t="shared" si="8"/>
        <v>3.3309882130543045</v>
      </c>
      <c r="L18">
        <v>6</v>
      </c>
      <c r="M18">
        <v>6</v>
      </c>
      <c r="N18">
        <v>3</v>
      </c>
      <c r="O18">
        <f t="shared" si="9"/>
        <v>14.700000000000001</v>
      </c>
      <c r="P18">
        <f t="shared" si="10"/>
        <v>15.36</v>
      </c>
      <c r="Q18" s="10">
        <f t="shared" si="11"/>
        <v>225.792</v>
      </c>
      <c r="R18">
        <f t="shared" si="12"/>
        <v>5040</v>
      </c>
      <c r="S18" s="1">
        <f t="shared" si="13"/>
        <v>43.230414156272602</v>
      </c>
    </row>
    <row r="19" spans="1:19">
      <c r="B19" s="5">
        <f t="shared" si="0"/>
        <v>0.10000000000000014</v>
      </c>
      <c r="C19" t="s">
        <v>59</v>
      </c>
      <c r="D19" s="1">
        <f>+B19*C$3</f>
        <v>4506792.7000000067</v>
      </c>
      <c r="E19" s="1">
        <f>+C$1*B19*C$5/100</f>
        <v>625534604.00000095</v>
      </c>
      <c r="F19" s="1">
        <f>+E19/C$6</f>
        <v>297873620.95238137</v>
      </c>
      <c r="G19" s="1">
        <f>+F19/C$7</f>
        <v>21276.687210884385</v>
      </c>
      <c r="H19" s="9">
        <f>+G19/365</f>
        <v>58.292293728450367</v>
      </c>
      <c r="I19">
        <f>+H19/F$29</f>
        <v>8.3274705326357668E-2</v>
      </c>
      <c r="J19" s="1">
        <f>+C$27*I19</f>
        <v>0.41637352663178834</v>
      </c>
      <c r="K19" s="8">
        <f>+J19*4</f>
        <v>1.6654941065271534</v>
      </c>
      <c r="L19">
        <v>6</v>
      </c>
      <c r="M19">
        <v>6</v>
      </c>
      <c r="N19">
        <v>3</v>
      </c>
      <c r="O19">
        <f>+L19*D$24</f>
        <v>14.700000000000001</v>
      </c>
      <c r="P19">
        <f>+M19*C$25</f>
        <v>15.36</v>
      </c>
      <c r="Q19" s="10">
        <f>+O19*P19</f>
        <v>225.792</v>
      </c>
      <c r="R19">
        <f>+M19*L19*F$26</f>
        <v>5040</v>
      </c>
      <c r="S19" s="1">
        <f>+R19/H19</f>
        <v>86.460828312545161</v>
      </c>
    </row>
    <row r="20" spans="1:19">
      <c r="B20" s="5">
        <v>0.01</v>
      </c>
      <c r="C20" t="s">
        <v>59</v>
      </c>
      <c r="D20" s="1">
        <f>+B20*C$3</f>
        <v>450679.27</v>
      </c>
      <c r="E20" s="1">
        <f>+C$1*B20*C$5/100</f>
        <v>62553460.399999999</v>
      </c>
      <c r="F20" s="1">
        <f>+E20/C$6</f>
        <v>29787362.095238093</v>
      </c>
      <c r="G20" s="1">
        <f>+F20/C$7</f>
        <v>2127.6687210884352</v>
      </c>
      <c r="H20" s="9">
        <f>+G20/365</f>
        <v>5.8292293728450275</v>
      </c>
      <c r="I20">
        <f>+H20/F$29</f>
        <v>8.3274705326357532E-3</v>
      </c>
      <c r="J20" s="1">
        <f>+C$27*I20</f>
        <v>4.1637352663178764E-2</v>
      </c>
      <c r="K20" s="8">
        <f>+J20*4</f>
        <v>0.16654941065271506</v>
      </c>
      <c r="L20">
        <v>6</v>
      </c>
      <c r="M20">
        <v>6</v>
      </c>
      <c r="N20">
        <v>3</v>
      </c>
      <c r="O20">
        <f>+L20*D$24</f>
        <v>14.700000000000001</v>
      </c>
      <c r="P20">
        <f>+M20*C$25</f>
        <v>15.36</v>
      </c>
      <c r="Q20" s="10">
        <f>+O20*P20</f>
        <v>225.792</v>
      </c>
      <c r="R20">
        <f>+M20*L20*F$26</f>
        <v>5040</v>
      </c>
      <c r="S20" s="1">
        <f>+R20/H20</f>
        <v>864.60828312545289</v>
      </c>
    </row>
    <row r="22" spans="1:19">
      <c r="B22" s="1"/>
      <c r="C22" t="s">
        <v>32</v>
      </c>
      <c r="E22" s="1"/>
    </row>
    <row r="23" spans="1:19">
      <c r="A23" s="1"/>
      <c r="B23" s="5"/>
      <c r="C23" t="s">
        <v>67</v>
      </c>
      <c r="D23" t="s">
        <v>68</v>
      </c>
      <c r="E23" s="1" t="s">
        <v>69</v>
      </c>
      <c r="F23" s="2" t="s">
        <v>71</v>
      </c>
      <c r="H23" s="7"/>
      <c r="I23" s="8"/>
      <c r="J23" s="1"/>
    </row>
    <row r="24" spans="1:19">
      <c r="A24" t="s">
        <v>74</v>
      </c>
      <c r="C24">
        <v>13.6</v>
      </c>
      <c r="D24">
        <v>2.4500000000000002</v>
      </c>
      <c r="E24" s="1">
        <v>3</v>
      </c>
      <c r="F24" s="2"/>
      <c r="H24" s="7"/>
      <c r="I24" s="1"/>
      <c r="J24" s="1"/>
    </row>
    <row r="25" spans="1:19">
      <c r="A25" t="s">
        <v>73</v>
      </c>
      <c r="C25" s="11">
        <v>2.56</v>
      </c>
      <c r="D25" s="11">
        <v>2.2799999999999998</v>
      </c>
      <c r="E25" s="11">
        <v>2.84</v>
      </c>
      <c r="F25" s="2"/>
      <c r="H25" s="7"/>
      <c r="I25" s="8"/>
      <c r="J25" s="1">
        <v>555</v>
      </c>
      <c r="K25" t="s">
        <v>101</v>
      </c>
    </row>
    <row r="26" spans="1:19">
      <c r="A26" t="s">
        <v>72</v>
      </c>
      <c r="C26" s="10">
        <v>2</v>
      </c>
      <c r="D26" s="10">
        <v>7</v>
      </c>
      <c r="E26" s="10">
        <v>10</v>
      </c>
      <c r="F26" s="2">
        <f>+E26*D26*C26</f>
        <v>140</v>
      </c>
      <c r="G26" t="s">
        <v>70</v>
      </c>
      <c r="H26" s="7" t="s">
        <v>102</v>
      </c>
      <c r="I26" s="1">
        <v>344000000000</v>
      </c>
      <c r="J26" s="1" t="s">
        <v>103</v>
      </c>
      <c r="K26">
        <f>+J25/1000</f>
        <v>0.55500000000000005</v>
      </c>
      <c r="L26" s="1">
        <f>+I26*K26</f>
        <v>190920000000.00003</v>
      </c>
    </row>
    <row r="27" spans="1:19">
      <c r="A27" s="1" t="s">
        <v>75</v>
      </c>
      <c r="C27" s="10">
        <v>5</v>
      </c>
      <c r="D27" s="10">
        <v>1</v>
      </c>
      <c r="E27" s="10">
        <v>1</v>
      </c>
      <c r="F27" s="2">
        <f>+E27*D27*C27</f>
        <v>5</v>
      </c>
      <c r="G27" t="s">
        <v>77</v>
      </c>
      <c r="H27" s="7" t="s">
        <v>104</v>
      </c>
      <c r="I27" s="1">
        <f>+C1</f>
        <v>625534604000</v>
      </c>
      <c r="J27" s="1" t="s">
        <v>15</v>
      </c>
      <c r="K27">
        <v>0.17399999999999999</v>
      </c>
      <c r="L27" s="1">
        <f>+I27*K27</f>
        <v>108843021096</v>
      </c>
    </row>
    <row r="28" spans="1:19">
      <c r="A28" s="1"/>
      <c r="E28" s="1"/>
      <c r="F28" s="2"/>
      <c r="H28" s="7"/>
      <c r="I28" s="8"/>
      <c r="J28" s="1"/>
    </row>
    <row r="29" spans="1:19">
      <c r="A29" s="1" t="s">
        <v>76</v>
      </c>
      <c r="E29" s="1"/>
      <c r="F29" s="2">
        <f>+F27*F26</f>
        <v>700</v>
      </c>
      <c r="G29" t="s">
        <v>70</v>
      </c>
      <c r="H29" s="7"/>
      <c r="I29" s="8"/>
      <c r="J29" s="1"/>
    </row>
    <row r="30" spans="1:19">
      <c r="A30" s="1"/>
      <c r="E30" s="1"/>
      <c r="F30" s="2"/>
      <c r="H30" s="7"/>
      <c r="I30" s="8"/>
      <c r="J30" s="1"/>
    </row>
    <row r="31" spans="1:19">
      <c r="A31" s="1"/>
      <c r="E31" s="1"/>
      <c r="F31" s="2"/>
      <c r="H31" s="7"/>
      <c r="I31" s="8"/>
      <c r="J31" s="1"/>
    </row>
    <row r="32" spans="1:19">
      <c r="A32" s="1"/>
      <c r="E32" s="1"/>
      <c r="F32" s="2"/>
      <c r="H32" s="7"/>
      <c r="I32" s="8"/>
      <c r="J32" s="1"/>
    </row>
    <row r="33" spans="1:10">
      <c r="A33" s="1"/>
      <c r="E33" s="1"/>
      <c r="F33" s="2"/>
      <c r="H33" s="7"/>
      <c r="I33" s="8"/>
      <c r="J33" s="1"/>
    </row>
    <row r="34" spans="1:10">
      <c r="A34" s="1"/>
      <c r="E34" s="1"/>
      <c r="F34" s="2"/>
      <c r="H34" s="7"/>
      <c r="I34" s="8"/>
      <c r="J34" s="1"/>
    </row>
    <row r="35" spans="1:10">
      <c r="A35" s="1"/>
      <c r="E35" s="1"/>
      <c r="F35" s="2"/>
      <c r="H35" s="7"/>
      <c r="I35" s="8"/>
      <c r="J35" s="1"/>
    </row>
    <row r="36" spans="1:10">
      <c r="A36" s="1"/>
      <c r="E36" s="1"/>
      <c r="F36" s="2"/>
      <c r="H36" s="7"/>
      <c r="I36" s="8"/>
      <c r="J36" s="1"/>
    </row>
    <row r="37" spans="1:10">
      <c r="A37" s="1"/>
      <c r="E37" s="1"/>
      <c r="F37" s="2"/>
      <c r="H37" s="7"/>
      <c r="I37" s="8"/>
      <c r="J37" s="1"/>
    </row>
    <row r="38" spans="1:10">
      <c r="A38" s="1"/>
      <c r="E38" s="1"/>
      <c r="F38" s="2"/>
      <c r="H38" s="7"/>
      <c r="I38" s="8"/>
      <c r="J38" s="1"/>
    </row>
    <row r="39" spans="1:10">
      <c r="A39" s="1"/>
      <c r="E39" s="1"/>
      <c r="F39" s="2"/>
      <c r="H39" s="7"/>
      <c r="I39" s="8"/>
      <c r="J39" s="1"/>
    </row>
    <row r="40" spans="1:10">
      <c r="A40" s="1"/>
      <c r="E40" s="1"/>
      <c r="F40" s="2"/>
      <c r="H40" s="7"/>
      <c r="I40" s="8"/>
      <c r="J40" s="1"/>
    </row>
    <row r="41" spans="1:10">
      <c r="A41" s="1"/>
      <c r="E41" s="1"/>
      <c r="F41" s="2"/>
      <c r="H41" s="7"/>
      <c r="I41" s="8"/>
      <c r="J41" s="1"/>
    </row>
    <row r="42" spans="1:10">
      <c r="A42" s="1"/>
      <c r="E42" s="1"/>
      <c r="F42" s="2"/>
      <c r="H42" s="7"/>
      <c r="I42" s="8"/>
      <c r="J42" s="1"/>
    </row>
    <row r="43" spans="1:10">
      <c r="A43" s="1"/>
      <c r="E43" s="1"/>
      <c r="F43" s="2"/>
      <c r="H43" s="7"/>
      <c r="I43" s="8"/>
      <c r="J43" s="1"/>
    </row>
    <row r="44" spans="1:10">
      <c r="A44" s="1"/>
      <c r="E44" s="1"/>
      <c r="F44" s="2"/>
      <c r="H44" s="7"/>
      <c r="I44" s="8"/>
      <c r="J44" s="1"/>
    </row>
    <row r="45" spans="1:10">
      <c r="A45" s="1"/>
      <c r="E45" s="1"/>
      <c r="F45" s="2"/>
      <c r="H45" s="7"/>
      <c r="I45" s="8"/>
      <c r="J45" s="1"/>
    </row>
    <row r="46" spans="1:10">
      <c r="A46" s="1"/>
      <c r="E46" s="1"/>
      <c r="F46" s="2"/>
      <c r="H46" s="7"/>
      <c r="I46" s="8"/>
      <c r="J46" s="1"/>
    </row>
    <row r="47" spans="1:10">
      <c r="A47" s="1"/>
      <c r="E47" s="1"/>
      <c r="F47" s="2"/>
      <c r="H47" s="7"/>
      <c r="I47" s="8"/>
      <c r="J47" s="1"/>
    </row>
    <row r="48" spans="1:10">
      <c r="A48" s="1"/>
      <c r="E48" s="1"/>
      <c r="F48" s="2"/>
      <c r="H48" s="7"/>
      <c r="I48" s="8"/>
      <c r="J48" s="1"/>
    </row>
    <row r="49" spans="1:10">
      <c r="A49" s="1"/>
      <c r="E49" s="1"/>
      <c r="F49" s="2"/>
      <c r="H49" s="7"/>
      <c r="I49" s="8"/>
      <c r="J49" s="1"/>
    </row>
    <row r="50" spans="1:10">
      <c r="A50" s="1"/>
      <c r="E50" s="1"/>
      <c r="F50" s="2"/>
      <c r="H50" s="7"/>
      <c r="I50" s="8"/>
      <c r="J50" s="1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opLeftCell="F70" workbookViewId="0">
      <selection activeCell="K88" sqref="K88"/>
    </sheetView>
  </sheetViews>
  <sheetFormatPr baseColWidth="10" defaultRowHeight="14.4"/>
  <cols>
    <col min="1" max="1" width="35.88671875" bestFit="1" customWidth="1"/>
    <col min="2" max="2" width="17.44140625" bestFit="1" customWidth="1"/>
    <col min="3" max="3" width="32.21875" customWidth="1"/>
    <col min="4" max="4" width="13.6640625" bestFit="1" customWidth="1"/>
    <col min="5" max="5" width="18.5546875" bestFit="1" customWidth="1"/>
    <col min="6" max="6" width="14.6640625" bestFit="1" customWidth="1"/>
    <col min="7" max="7" width="14" bestFit="1" customWidth="1"/>
    <col min="8" max="8" width="16.77734375" bestFit="1" customWidth="1"/>
    <col min="9" max="11" width="14.6640625" bestFit="1" customWidth="1"/>
    <col min="12" max="12" width="23.88671875" bestFit="1" customWidth="1"/>
    <col min="13" max="13" width="15.44140625" bestFit="1" customWidth="1"/>
    <col min="14" max="14" width="17.33203125" bestFit="1" customWidth="1"/>
  </cols>
  <sheetData>
    <row r="1" spans="1:10" s="46" customFormat="1"/>
    <row r="2" spans="1:10" s="46" customFormat="1"/>
    <row r="3" spans="1:10">
      <c r="H3" s="46"/>
      <c r="I3" s="46"/>
      <c r="J3" s="46"/>
    </row>
    <row r="4" spans="1:10">
      <c r="A4" s="88" t="s">
        <v>105</v>
      </c>
      <c r="B4" s="16" t="s">
        <v>106</v>
      </c>
      <c r="C4" s="16"/>
      <c r="D4" s="16" t="s">
        <v>107</v>
      </c>
      <c r="E4" s="16" t="s">
        <v>110</v>
      </c>
      <c r="F4" s="16" t="s">
        <v>142</v>
      </c>
      <c r="H4" s="16"/>
      <c r="I4" s="18"/>
    </row>
    <row r="5" spans="1:10">
      <c r="A5" s="88"/>
      <c r="B5" s="13" t="s">
        <v>15</v>
      </c>
      <c r="C5" s="13"/>
      <c r="D5" s="13" t="s">
        <v>108</v>
      </c>
      <c r="E5" s="13" t="s">
        <v>111</v>
      </c>
      <c r="F5" s="13"/>
    </row>
    <row r="6" spans="1:10">
      <c r="A6" s="88"/>
      <c r="B6" s="13"/>
      <c r="C6" s="13"/>
      <c r="D6" s="13" t="s">
        <v>109</v>
      </c>
      <c r="E6" s="13" t="s">
        <v>112</v>
      </c>
      <c r="F6" s="13"/>
    </row>
    <row r="7" spans="1:10">
      <c r="A7" s="16" t="s">
        <v>113</v>
      </c>
      <c r="B7" s="14">
        <f>9611548*1000</f>
        <v>9611548000</v>
      </c>
      <c r="C7" s="14" t="s">
        <v>15</v>
      </c>
      <c r="D7" s="15">
        <v>1.2</v>
      </c>
      <c r="E7" s="14">
        <v>2302</v>
      </c>
      <c r="F7" s="15"/>
    </row>
    <row r="8" spans="1:10">
      <c r="A8" s="16" t="s">
        <v>114</v>
      </c>
      <c r="B8" s="14">
        <f>618719113*1000</f>
        <v>618719113000</v>
      </c>
      <c r="C8" s="14" t="s">
        <v>15</v>
      </c>
      <c r="D8" s="15">
        <v>1.2</v>
      </c>
      <c r="E8" s="14">
        <v>14074</v>
      </c>
      <c r="F8" s="15"/>
    </row>
    <row r="9" spans="1:10">
      <c r="A9" s="16" t="s">
        <v>115</v>
      </c>
      <c r="B9" s="14">
        <f>42568294*1000</f>
        <v>42568294000</v>
      </c>
      <c r="C9" s="14" t="s">
        <v>15</v>
      </c>
      <c r="D9" s="15">
        <v>5.4</v>
      </c>
      <c r="E9" s="14">
        <v>19388</v>
      </c>
      <c r="F9" s="15"/>
    </row>
    <row r="10" spans="1:10">
      <c r="A10" s="16" t="s">
        <v>116</v>
      </c>
      <c r="B10" s="14">
        <f>3536891*1000</f>
        <v>3536891000</v>
      </c>
      <c r="C10" s="14" t="s">
        <v>15</v>
      </c>
      <c r="D10" s="15">
        <v>-0.2</v>
      </c>
      <c r="E10" s="14">
        <v>18914</v>
      </c>
      <c r="F10" s="15"/>
    </row>
    <row r="11" spans="1:10">
      <c r="A11" s="16" t="s">
        <v>117</v>
      </c>
      <c r="B11" s="14">
        <f>12828972*1000</f>
        <v>12828972000</v>
      </c>
      <c r="C11" s="14" t="s">
        <v>15</v>
      </c>
      <c r="D11" s="15">
        <v>0</v>
      </c>
      <c r="E11" s="14">
        <v>39289</v>
      </c>
      <c r="F11" s="15"/>
    </row>
    <row r="12" spans="1:10">
      <c r="A12" s="16" t="s">
        <v>118</v>
      </c>
      <c r="B12" s="14">
        <f>749583*1000</f>
        <v>749583000</v>
      </c>
      <c r="C12" s="14" t="s">
        <v>15</v>
      </c>
      <c r="D12" s="15">
        <v>-5.6</v>
      </c>
      <c r="E12" s="15">
        <v>415</v>
      </c>
      <c r="F12" s="15"/>
    </row>
    <row r="13" spans="1:10">
      <c r="A13" s="16" t="s">
        <v>119</v>
      </c>
      <c r="B13" s="14">
        <f>18702129*1000</f>
        <v>18702129000</v>
      </c>
      <c r="C13" s="14" t="s">
        <v>15</v>
      </c>
      <c r="D13" s="15">
        <v>1.5</v>
      </c>
      <c r="E13" s="14">
        <v>100899</v>
      </c>
      <c r="F13" s="15"/>
    </row>
    <row r="14" spans="1:10">
      <c r="A14" s="16" t="s">
        <v>120</v>
      </c>
      <c r="B14" s="14">
        <f>439744*1000</f>
        <v>439744000</v>
      </c>
      <c r="C14" s="14" t="s">
        <v>15</v>
      </c>
      <c r="D14" s="15">
        <v>2</v>
      </c>
      <c r="E14" s="14">
        <v>3686</v>
      </c>
      <c r="F14" s="15"/>
    </row>
    <row r="15" spans="1:10">
      <c r="A15" s="16" t="s">
        <v>121</v>
      </c>
      <c r="B15" s="14">
        <f>4378189*1000</f>
        <v>4378189000</v>
      </c>
      <c r="C15" s="14" t="s">
        <v>15</v>
      </c>
      <c r="D15" s="15">
        <v>3.3</v>
      </c>
      <c r="E15" s="14">
        <v>57311</v>
      </c>
      <c r="F15" s="15"/>
    </row>
    <row r="16" spans="1:10">
      <c r="A16" s="16" t="s">
        <v>122</v>
      </c>
      <c r="B16" s="14">
        <f>4620390*1000</f>
        <v>4620390000</v>
      </c>
      <c r="C16" s="14" t="s">
        <v>15</v>
      </c>
      <c r="D16" s="15">
        <v>-4.5</v>
      </c>
      <c r="E16" s="14">
        <v>9812</v>
      </c>
      <c r="F16" s="15"/>
    </row>
    <row r="17" spans="1:8">
      <c r="A17" s="16" t="s">
        <v>123</v>
      </c>
      <c r="B17" s="14">
        <f>716154965*1000</f>
        <v>716154965000</v>
      </c>
      <c r="C17" s="14" t="s">
        <v>15</v>
      </c>
      <c r="D17" s="15">
        <v>1.4</v>
      </c>
      <c r="E17" s="14">
        <v>13385</v>
      </c>
      <c r="F17" s="15"/>
    </row>
    <row r="18" spans="1:8">
      <c r="A18" s="17"/>
      <c r="C18" s="14" t="s">
        <v>32</v>
      </c>
    </row>
    <row r="19" spans="1:8">
      <c r="A19" s="16" t="s">
        <v>11</v>
      </c>
      <c r="B19" s="1">
        <f>+B9+B10+B11+B12+B13+B15</f>
        <v>82764058000</v>
      </c>
      <c r="C19" s="14" t="s">
        <v>15</v>
      </c>
    </row>
    <row r="21" spans="1:8">
      <c r="A21" s="19" t="s">
        <v>130</v>
      </c>
    </row>
    <row r="22" spans="1:8">
      <c r="A22" t="s">
        <v>124</v>
      </c>
      <c r="B22" s="1">
        <v>29978635</v>
      </c>
      <c r="C22" t="s">
        <v>16</v>
      </c>
    </row>
    <row r="23" spans="1:8">
      <c r="A23" t="s">
        <v>125</v>
      </c>
      <c r="B23" s="1">
        <v>15089392</v>
      </c>
      <c r="C23" t="s">
        <v>16</v>
      </c>
      <c r="H23" s="21">
        <v>21843000000</v>
      </c>
    </row>
    <row r="24" spans="1:8">
      <c r="A24" t="s">
        <v>126</v>
      </c>
      <c r="B24" s="1">
        <v>448025</v>
      </c>
      <c r="C24" t="s">
        <v>16</v>
      </c>
    </row>
    <row r="25" spans="1:8">
      <c r="A25" t="s">
        <v>127</v>
      </c>
      <c r="B25" s="1">
        <v>77187</v>
      </c>
      <c r="C25" t="s">
        <v>16</v>
      </c>
    </row>
    <row r="26" spans="1:8">
      <c r="A26" t="s">
        <v>128</v>
      </c>
      <c r="B26" s="1">
        <v>34022</v>
      </c>
      <c r="C26" t="s">
        <v>16</v>
      </c>
    </row>
    <row r="27" spans="1:8">
      <c r="A27" t="s">
        <v>129</v>
      </c>
      <c r="B27" s="1">
        <v>165405</v>
      </c>
      <c r="C27" t="s">
        <v>16</v>
      </c>
    </row>
    <row r="28" spans="1:8">
      <c r="C28" t="s">
        <v>32</v>
      </c>
    </row>
    <row r="29" spans="1:8">
      <c r="A29" s="19" t="s">
        <v>130</v>
      </c>
      <c r="B29" s="1">
        <f>SUM(B22:B28)</f>
        <v>45792666</v>
      </c>
      <c r="C29" t="s">
        <v>16</v>
      </c>
    </row>
    <row r="30" spans="1:8">
      <c r="A30" t="s">
        <v>131</v>
      </c>
      <c r="B30" s="1">
        <v>78949</v>
      </c>
      <c r="C30" t="s">
        <v>16</v>
      </c>
    </row>
    <row r="31" spans="1:8">
      <c r="A31" t="s">
        <v>132</v>
      </c>
      <c r="B31" s="1">
        <v>2911907</v>
      </c>
      <c r="C31" t="s">
        <v>16</v>
      </c>
    </row>
    <row r="32" spans="1:8">
      <c r="A32" t="s">
        <v>133</v>
      </c>
      <c r="B32" s="1">
        <v>2170335</v>
      </c>
      <c r="C32" t="s">
        <v>16</v>
      </c>
    </row>
    <row r="33" spans="1:12">
      <c r="A33" t="s">
        <v>134</v>
      </c>
      <c r="B33" s="1">
        <v>289024</v>
      </c>
      <c r="C33" t="s">
        <v>16</v>
      </c>
    </row>
    <row r="34" spans="1:12">
      <c r="A34" t="s">
        <v>136</v>
      </c>
      <c r="B34" s="1">
        <v>4314493</v>
      </c>
      <c r="C34" t="s">
        <v>16</v>
      </c>
    </row>
    <row r="35" spans="1:12">
      <c r="B35" s="1"/>
      <c r="C35" t="s">
        <v>32</v>
      </c>
    </row>
    <row r="36" spans="1:12">
      <c r="A36" t="s">
        <v>135</v>
      </c>
      <c r="B36" s="1">
        <f>SUM(B29:B35)</f>
        <v>55557374</v>
      </c>
      <c r="C36" t="s">
        <v>16</v>
      </c>
    </row>
    <row r="39" spans="1:12">
      <c r="G39" t="s">
        <v>143</v>
      </c>
      <c r="H39" t="s">
        <v>163</v>
      </c>
      <c r="I39" t="s">
        <v>144</v>
      </c>
      <c r="K39" t="s">
        <v>145</v>
      </c>
    </row>
    <row r="40" spans="1:12">
      <c r="A40" t="s">
        <v>137</v>
      </c>
      <c r="B40" s="1">
        <v>45324000000</v>
      </c>
      <c r="C40" t="s">
        <v>13</v>
      </c>
      <c r="D40" t="s">
        <v>32</v>
      </c>
      <c r="E40">
        <v>7.6</v>
      </c>
      <c r="F40" t="s">
        <v>138</v>
      </c>
      <c r="G40">
        <v>180</v>
      </c>
      <c r="H40" s="4">
        <v>0.25</v>
      </c>
      <c r="I40" s="1">
        <f>+B40/E40*100</f>
        <v>596368421052.63159</v>
      </c>
      <c r="J40" t="s">
        <v>15</v>
      </c>
      <c r="K40" s="1">
        <f>+I40*G40/1000/1000</f>
        <v>107346315.7894737</v>
      </c>
      <c r="L40" t="s">
        <v>156</v>
      </c>
    </row>
    <row r="41" spans="1:12">
      <c r="A41" t="s">
        <v>153</v>
      </c>
      <c r="B41" s="1">
        <v>20020000000</v>
      </c>
      <c r="C41" t="s">
        <v>13</v>
      </c>
      <c r="E41">
        <v>6.8</v>
      </c>
      <c r="F41" t="s">
        <v>138</v>
      </c>
      <c r="G41">
        <v>168</v>
      </c>
      <c r="H41" s="4">
        <v>0.33</v>
      </c>
      <c r="I41" s="1">
        <f>+B41/E41*100</f>
        <v>294411764705.88239</v>
      </c>
      <c r="J41" t="s">
        <v>15</v>
      </c>
      <c r="K41" s="1">
        <f>+I41*G41/1000/1000</f>
        <v>49461176.470588244</v>
      </c>
      <c r="L41" s="46" t="s">
        <v>156</v>
      </c>
    </row>
    <row r="42" spans="1:12">
      <c r="A42" t="s">
        <v>127</v>
      </c>
      <c r="B42" s="1"/>
      <c r="G42">
        <v>136</v>
      </c>
      <c r="H42" s="4"/>
      <c r="I42" s="1"/>
    </row>
    <row r="43" spans="1:12">
      <c r="A43" t="s">
        <v>154</v>
      </c>
      <c r="B43" s="1">
        <f>+H23</f>
        <v>21843000000</v>
      </c>
      <c r="C43" t="s">
        <v>13</v>
      </c>
      <c r="D43" t="s">
        <v>155</v>
      </c>
      <c r="E43">
        <v>35</v>
      </c>
      <c r="F43" s="46" t="s">
        <v>138</v>
      </c>
      <c r="G43" s="8">
        <f>+G41/E41*E43</f>
        <v>864.70588235294122</v>
      </c>
      <c r="H43" s="4"/>
      <c r="I43" s="1">
        <f>+B19</f>
        <v>82764058000</v>
      </c>
      <c r="J43" t="s">
        <v>15</v>
      </c>
      <c r="K43" s="1">
        <f>+I43*G43/1000/1000</f>
        <v>71566567.799999997</v>
      </c>
      <c r="L43" t="s">
        <v>156</v>
      </c>
    </row>
    <row r="45" spans="1:12">
      <c r="K45" s="1">
        <f>SUM(K40:K44)</f>
        <v>228374060.06006193</v>
      </c>
    </row>
    <row r="46" spans="1:12">
      <c r="B46" s="1" t="s">
        <v>139</v>
      </c>
      <c r="C46" t="s">
        <v>141</v>
      </c>
      <c r="D46" t="s">
        <v>140</v>
      </c>
      <c r="E46" t="s">
        <v>275</v>
      </c>
    </row>
    <row r="47" spans="1:12">
      <c r="A47" t="s">
        <v>124</v>
      </c>
      <c r="B47" s="20">
        <v>2.33</v>
      </c>
      <c r="C47" s="11">
        <v>12</v>
      </c>
      <c r="D47">
        <v>8.9</v>
      </c>
      <c r="E47">
        <v>261.8</v>
      </c>
    </row>
    <row r="48" spans="1:12">
      <c r="A48" t="s">
        <v>125</v>
      </c>
      <c r="B48" s="20">
        <v>2.63</v>
      </c>
      <c r="C48" s="11">
        <v>11.8</v>
      </c>
      <c r="D48">
        <v>9.8000000000000007</v>
      </c>
      <c r="E48">
        <v>269.39999999999998</v>
      </c>
      <c r="F48" s="46"/>
    </row>
    <row r="49" spans="1:10">
      <c r="A49" t="s">
        <v>126</v>
      </c>
      <c r="B49" s="20">
        <v>1.64</v>
      </c>
      <c r="C49" s="11">
        <v>12.8</v>
      </c>
      <c r="D49">
        <v>6.9</v>
      </c>
      <c r="E49">
        <v>128.1</v>
      </c>
    </row>
    <row r="50" spans="1:10">
      <c r="A50" t="s">
        <v>273</v>
      </c>
      <c r="B50" s="20">
        <v>2.79</v>
      </c>
      <c r="C50" s="11">
        <v>11.2</v>
      </c>
      <c r="D50">
        <v>10.5</v>
      </c>
      <c r="E50">
        <v>249.1</v>
      </c>
      <c r="F50" s="46"/>
    </row>
    <row r="51" spans="1:10">
      <c r="A51" t="s">
        <v>59</v>
      </c>
      <c r="C51" s="11">
        <v>33.299999999999997</v>
      </c>
      <c r="E51" t="s">
        <v>32</v>
      </c>
    </row>
    <row r="53" spans="1:10">
      <c r="A53" s="46" t="s">
        <v>274</v>
      </c>
      <c r="I53">
        <f>867*1000*1000</f>
        <v>867000000</v>
      </c>
      <c r="J53" t="s">
        <v>226</v>
      </c>
    </row>
    <row r="55" spans="1:10">
      <c r="C55">
        <v>76</v>
      </c>
      <c r="D55">
        <v>3.1</v>
      </c>
      <c r="E55">
        <f>+C55/D55</f>
        <v>24.516129032258064</v>
      </c>
    </row>
    <row r="56" spans="1:10">
      <c r="C56">
        <v>64</v>
      </c>
      <c r="D56">
        <v>2.6</v>
      </c>
      <c r="E56" s="46">
        <f>+C56/D56</f>
        <v>24.615384615384613</v>
      </c>
    </row>
    <row r="57" spans="1:10">
      <c r="A57">
        <v>33.299999999999997</v>
      </c>
      <c r="C57">
        <v>39</v>
      </c>
      <c r="D57">
        <v>1.6</v>
      </c>
      <c r="E57" s="46">
        <f>+C57/D57</f>
        <v>24.375</v>
      </c>
    </row>
    <row r="58" spans="1:10">
      <c r="A58">
        <v>12</v>
      </c>
      <c r="B58">
        <f>+A57/A58</f>
        <v>2.7749999999999999</v>
      </c>
      <c r="C58">
        <v>36</v>
      </c>
      <c r="D58">
        <v>1.4</v>
      </c>
      <c r="E58" s="46">
        <f>+C58/D58</f>
        <v>25.714285714285715</v>
      </c>
    </row>
    <row r="60" spans="1:10">
      <c r="A60">
        <f>12/8.9</f>
        <v>1.348314606741573</v>
      </c>
      <c r="B60">
        <f>+A60*B58</f>
        <v>3.7415730337078648</v>
      </c>
    </row>
    <row r="61" spans="1:10">
      <c r="A61">
        <f>8.9/12</f>
        <v>0.7416666666666667</v>
      </c>
    </row>
    <row r="65" spans="3:14">
      <c r="C65" t="s">
        <v>173</v>
      </c>
    </row>
    <row r="69" spans="3:14">
      <c r="J69" t="s">
        <v>268</v>
      </c>
      <c r="K69" t="s">
        <v>111</v>
      </c>
      <c r="L69" t="s">
        <v>270</v>
      </c>
      <c r="M69" t="s">
        <v>271</v>
      </c>
      <c r="N69" t="s">
        <v>272</v>
      </c>
    </row>
    <row r="70" spans="3:14">
      <c r="D70" t="s">
        <v>174</v>
      </c>
      <c r="I70" t="s">
        <v>269</v>
      </c>
      <c r="J70" s="59">
        <f>25304*1000*1000</f>
        <v>25304000000</v>
      </c>
      <c r="M70">
        <v>2.5</v>
      </c>
      <c r="N70" s="1">
        <f>+J70*M70/1000</f>
        <v>63260000</v>
      </c>
    </row>
    <row r="71" spans="3:14">
      <c r="I71" t="s">
        <v>266</v>
      </c>
      <c r="J71" s="61">
        <f>20020*1000*1000</f>
        <v>20020000000</v>
      </c>
      <c r="M71">
        <v>3.09</v>
      </c>
      <c r="N71" s="1">
        <f t="shared" ref="N71:N73" si="0">+J71*M71/1000</f>
        <v>61861800</v>
      </c>
    </row>
    <row r="72" spans="3:14">
      <c r="D72" t="s">
        <v>175</v>
      </c>
      <c r="J72" s="1">
        <f>SUM(J70:J71)</f>
        <v>45324000000</v>
      </c>
      <c r="K72" s="1">
        <f>+'Aktueller Stand'!C15</f>
        <v>625534604000</v>
      </c>
      <c r="L72" s="1">
        <f>+J72*100/K72</f>
        <v>7.2456423210121885</v>
      </c>
      <c r="N72" s="1" t="s">
        <v>32</v>
      </c>
    </row>
    <row r="73" spans="3:14">
      <c r="I73" t="s">
        <v>267</v>
      </c>
      <c r="J73" s="61">
        <f>21843*1000*1000</f>
        <v>21843000000</v>
      </c>
      <c r="K73" s="1">
        <f>+'Aktueller Stand'!C16</f>
        <v>122978314000</v>
      </c>
      <c r="L73" s="1">
        <f>+J73*100/K73</f>
        <v>17.761668126300705</v>
      </c>
      <c r="M73">
        <v>3.09</v>
      </c>
      <c r="N73" s="1">
        <f t="shared" si="0"/>
        <v>67494870</v>
      </c>
    </row>
    <row r="74" spans="3:14">
      <c r="D74" t="s">
        <v>176</v>
      </c>
    </row>
    <row r="75" spans="3:14">
      <c r="N75" s="1">
        <f>SUM(N70:N74)</f>
        <v>192616670</v>
      </c>
    </row>
    <row r="76" spans="3:14">
      <c r="D76" t="s">
        <v>177</v>
      </c>
    </row>
    <row r="78" spans="3:14">
      <c r="D78" t="s">
        <v>178</v>
      </c>
    </row>
    <row r="81" spans="2:16">
      <c r="C81" t="s">
        <v>59</v>
      </c>
      <c r="E81" t="s">
        <v>180</v>
      </c>
    </row>
    <row r="82" spans="2:16">
      <c r="E82">
        <v>55</v>
      </c>
      <c r="F82" t="s">
        <v>179</v>
      </c>
      <c r="G82">
        <v>1</v>
      </c>
      <c r="H82" t="s">
        <v>93</v>
      </c>
      <c r="I82" t="s">
        <v>59</v>
      </c>
      <c r="K82" s="1">
        <f>538*1000*1000*1000</f>
        <v>538000000000</v>
      </c>
    </row>
    <row r="83" spans="2:16">
      <c r="E83" s="20">
        <f>+G83*E82</f>
        <v>344044032200</v>
      </c>
      <c r="G83" s="1">
        <f>+'Umstellung Wasserstoff'!E10</f>
        <v>6255346040</v>
      </c>
    </row>
    <row r="85" spans="2:16">
      <c r="K85" s="1">
        <v>538000000000</v>
      </c>
    </row>
    <row r="87" spans="2:16">
      <c r="K87" s="1">
        <f>344*1000*1000*1000</f>
        <v>344000000000</v>
      </c>
      <c r="L87" t="s">
        <v>195</v>
      </c>
      <c r="M87" s="1">
        <f>+K87*H88/1000</f>
        <v>194015999.99999997</v>
      </c>
      <c r="N87" t="s">
        <v>193</v>
      </c>
      <c r="P87">
        <f>+K87/K85</f>
        <v>0.63940520446096649</v>
      </c>
    </row>
    <row r="88" spans="2:16">
      <c r="B88" t="s">
        <v>181</v>
      </c>
      <c r="C88">
        <v>42</v>
      </c>
      <c r="D88" t="s">
        <v>103</v>
      </c>
      <c r="E88" s="6">
        <f>+C88/C$97</f>
        <v>7.6142131979695424E-2</v>
      </c>
      <c r="H88">
        <v>0.56399999999999995</v>
      </c>
      <c r="I88" t="s">
        <v>192</v>
      </c>
      <c r="K88" s="1">
        <f>122*1000*1000*1000</f>
        <v>122000000000</v>
      </c>
      <c r="L88" t="s">
        <v>196</v>
      </c>
      <c r="M88" s="1">
        <f>+K88*H88/1000</f>
        <v>68808000</v>
      </c>
      <c r="N88" s="46" t="s">
        <v>193</v>
      </c>
      <c r="P88">
        <f>+K90/K85</f>
        <v>0.20038412946610773</v>
      </c>
    </row>
    <row r="89" spans="2:16">
      <c r="B89" t="s">
        <v>182</v>
      </c>
      <c r="C89">
        <f>48.6*2</f>
        <v>97.2</v>
      </c>
      <c r="D89" s="46" t="s">
        <v>103</v>
      </c>
      <c r="E89" s="6">
        <f t="shared" ref="E89:E95" si="1">+C89/C$97</f>
        <v>0.17621464829586655</v>
      </c>
      <c r="K89" s="1">
        <f>+K88/M88*M89</f>
        <v>114193338347.23404</v>
      </c>
      <c r="L89" t="s">
        <v>202</v>
      </c>
      <c r="M89" s="1">
        <f>+D108/1000</f>
        <v>64405042.827839993</v>
      </c>
      <c r="N89" t="s">
        <v>193</v>
      </c>
    </row>
    <row r="90" spans="2:16">
      <c r="B90" t="s">
        <v>183</v>
      </c>
      <c r="C90">
        <f>68*2</f>
        <v>136</v>
      </c>
      <c r="D90" s="46" t="s">
        <v>103</v>
      </c>
      <c r="E90" s="6">
        <f t="shared" si="1"/>
        <v>0.24655547498187091</v>
      </c>
      <c r="K90" s="1">
        <f>+K87-K88-K89</f>
        <v>107806661652.76596</v>
      </c>
      <c r="L90" s="1"/>
      <c r="M90" s="1">
        <f>SUM(M88:M89)</f>
        <v>133213042.82784</v>
      </c>
      <c r="P90">
        <f>+K90/K87</f>
        <v>0.31339145829292431</v>
      </c>
    </row>
    <row r="91" spans="2:16">
      <c r="B91" t="s">
        <v>184</v>
      </c>
      <c r="C91">
        <f>47.4*2</f>
        <v>94.8</v>
      </c>
      <c r="D91" s="46" t="s">
        <v>103</v>
      </c>
      <c r="E91" s="6">
        <f t="shared" si="1"/>
        <v>0.17186366932559824</v>
      </c>
      <c r="L91" s="46" t="s">
        <v>196</v>
      </c>
      <c r="M91" s="1">
        <f>SUM(M88:M90)</f>
        <v>266426085.65568</v>
      </c>
      <c r="N91" s="46" t="s">
        <v>193</v>
      </c>
    </row>
    <row r="92" spans="2:16">
      <c r="B92" t="s">
        <v>185</v>
      </c>
      <c r="C92">
        <f>31.8*2</f>
        <v>63.6</v>
      </c>
      <c r="D92" s="46" t="s">
        <v>103</v>
      </c>
      <c r="E92" s="6">
        <f t="shared" si="1"/>
        <v>0.11530094271211022</v>
      </c>
      <c r="K92" s="1">
        <f>+K88+K89</f>
        <v>236193338347.23404</v>
      </c>
    </row>
    <row r="93" spans="2:16">
      <c r="B93" t="s">
        <v>186</v>
      </c>
      <c r="C93">
        <v>48</v>
      </c>
      <c r="D93" s="46" t="s">
        <v>103</v>
      </c>
      <c r="E93" s="6">
        <f t="shared" si="1"/>
        <v>8.7019579405366199E-2</v>
      </c>
      <c r="K93" s="1">
        <f>+K87-K92</f>
        <v>107806661652.76596</v>
      </c>
    </row>
    <row r="94" spans="2:16">
      <c r="B94" t="s">
        <v>187</v>
      </c>
      <c r="C94">
        <f>10.6*2</f>
        <v>21.2</v>
      </c>
      <c r="D94" s="46" t="s">
        <v>103</v>
      </c>
      <c r="E94" s="6">
        <f t="shared" si="1"/>
        <v>3.8433647570703403E-2</v>
      </c>
    </row>
    <row r="95" spans="2:16">
      <c r="B95" t="s">
        <v>188</v>
      </c>
      <c r="C95">
        <f>24.4*2</f>
        <v>48.8</v>
      </c>
      <c r="D95" s="46" t="s">
        <v>103</v>
      </c>
      <c r="E95" s="6">
        <f t="shared" si="1"/>
        <v>8.8469905728788975E-2</v>
      </c>
    </row>
    <row r="96" spans="2:16">
      <c r="L96" t="s">
        <v>194</v>
      </c>
      <c r="M96" s="1">
        <f>+K45</f>
        <v>228374060.06006193</v>
      </c>
      <c r="N96" t="s">
        <v>193</v>
      </c>
    </row>
    <row r="97" spans="1:15">
      <c r="B97" t="s">
        <v>189</v>
      </c>
      <c r="C97">
        <f>SUM(C88:C96)</f>
        <v>551.6</v>
      </c>
      <c r="D97" t="s">
        <v>103</v>
      </c>
    </row>
    <row r="101" spans="1:15">
      <c r="B101" s="75" t="s">
        <v>190</v>
      </c>
    </row>
    <row r="102" spans="1:15">
      <c r="B102" s="74" t="s">
        <v>191</v>
      </c>
    </row>
    <row r="103" spans="1:15">
      <c r="I103" t="s">
        <v>218</v>
      </c>
    </row>
    <row r="104" spans="1:15">
      <c r="C104" t="s">
        <v>199</v>
      </c>
      <c r="D104" s="1">
        <f>+'Umstellung Elektroautoantrieb'!C10</f>
        <v>87.75</v>
      </c>
      <c r="E104" t="s">
        <v>179</v>
      </c>
      <c r="I104" t="s">
        <v>221</v>
      </c>
      <c r="J104" t="s">
        <v>180</v>
      </c>
      <c r="K104" t="s">
        <v>222</v>
      </c>
      <c r="L104" t="s">
        <v>223</v>
      </c>
    </row>
    <row r="105" spans="1:15">
      <c r="C105" t="s">
        <v>200</v>
      </c>
      <c r="D105">
        <v>176</v>
      </c>
      <c r="E105" t="s">
        <v>205</v>
      </c>
      <c r="I105">
        <v>400</v>
      </c>
      <c r="J105">
        <v>50</v>
      </c>
      <c r="K105">
        <v>1.73</v>
      </c>
      <c r="L105" s="1">
        <f>+I105*J105*K105</f>
        <v>34600</v>
      </c>
      <c r="M105" t="s">
        <v>226</v>
      </c>
    </row>
    <row r="106" spans="1:15">
      <c r="C106" t="s">
        <v>201</v>
      </c>
      <c r="D106" s="1">
        <f>+'Umstellung Elektroautoantrieb'!L13</f>
        <v>4170230.6933333334</v>
      </c>
      <c r="E106" t="s">
        <v>16</v>
      </c>
      <c r="H106" t="s">
        <v>220</v>
      </c>
      <c r="I106" s="46">
        <v>400</v>
      </c>
      <c r="J106" s="46">
        <f>+L106/K106/I106</f>
        <v>216.76300578034682</v>
      </c>
      <c r="K106" s="46">
        <v>1.73</v>
      </c>
      <c r="L106" s="1">
        <v>150000</v>
      </c>
      <c r="M106" s="46" t="s">
        <v>226</v>
      </c>
    </row>
    <row r="107" spans="1:15">
      <c r="H107" t="s">
        <v>219</v>
      </c>
      <c r="I107">
        <v>10000</v>
      </c>
      <c r="J107">
        <f>+L107/K107/I107</f>
        <v>433.52601156069369</v>
      </c>
      <c r="K107">
        <v>1.73</v>
      </c>
      <c r="L107" s="1">
        <f>150000*50</f>
        <v>7500000</v>
      </c>
      <c r="M107" s="46" t="s">
        <v>226</v>
      </c>
      <c r="N107">
        <v>95</v>
      </c>
      <c r="O107" t="s">
        <v>216</v>
      </c>
    </row>
    <row r="108" spans="1:15">
      <c r="C108" t="s">
        <v>225</v>
      </c>
      <c r="D108" s="1">
        <f>+D106*D105*D104</f>
        <v>64405042827.839996</v>
      </c>
      <c r="E108" t="s">
        <v>93</v>
      </c>
      <c r="J108">
        <f>+I107*J107*K107</f>
        <v>7500000</v>
      </c>
      <c r="K108" t="s">
        <v>226</v>
      </c>
    </row>
    <row r="109" spans="1:15">
      <c r="J109" s="46">
        <f>867*1000*1000</f>
        <v>867000000</v>
      </c>
      <c r="K109" s="46" t="s">
        <v>226</v>
      </c>
    </row>
    <row r="110" spans="1:15">
      <c r="E110" t="s">
        <v>211</v>
      </c>
      <c r="G110">
        <v>22</v>
      </c>
      <c r="H110" t="s">
        <v>212</v>
      </c>
    </row>
    <row r="111" spans="1:15">
      <c r="A111" t="s">
        <v>206</v>
      </c>
      <c r="B111" t="s">
        <v>207</v>
      </c>
      <c r="C111" s="76">
        <v>36950</v>
      </c>
    </row>
    <row r="112" spans="1:15">
      <c r="B112" t="s">
        <v>208</v>
      </c>
      <c r="C112" s="76">
        <v>38950</v>
      </c>
      <c r="K112" s="1" t="s">
        <v>32</v>
      </c>
    </row>
    <row r="113" spans="1:9">
      <c r="B113" t="s">
        <v>209</v>
      </c>
      <c r="C113" s="76">
        <v>41450</v>
      </c>
    </row>
    <row r="114" spans="1:9">
      <c r="B114" t="s">
        <v>210</v>
      </c>
      <c r="C114" s="76">
        <v>42850</v>
      </c>
    </row>
    <row r="115" spans="1:9">
      <c r="B115" t="s">
        <v>264</v>
      </c>
      <c r="C115" s="76">
        <f>+C114*7</f>
        <v>299950</v>
      </c>
    </row>
    <row r="116" spans="1:9">
      <c r="A116" t="s">
        <v>224</v>
      </c>
      <c r="B116" s="76">
        <v>17</v>
      </c>
      <c r="C116" t="s">
        <v>217</v>
      </c>
    </row>
    <row r="117" spans="1:9">
      <c r="C117" s="76"/>
    </row>
    <row r="118" spans="1:9">
      <c r="C118" s="76"/>
      <c r="G118" t="s">
        <v>213</v>
      </c>
      <c r="H118">
        <v>700</v>
      </c>
      <c r="I118" t="s">
        <v>15</v>
      </c>
    </row>
    <row r="119" spans="1:9">
      <c r="C119" s="76"/>
      <c r="G119" t="s">
        <v>214</v>
      </c>
      <c r="H119">
        <v>140</v>
      </c>
      <c r="I119" t="s">
        <v>215</v>
      </c>
    </row>
    <row r="120" spans="1:9">
      <c r="C120" s="76"/>
    </row>
    <row r="121" spans="1:9">
      <c r="G121" t="s">
        <v>204</v>
      </c>
      <c r="H121">
        <f>+H118*H119/100</f>
        <v>980</v>
      </c>
      <c r="I121" t="s">
        <v>179</v>
      </c>
    </row>
    <row r="122" spans="1:9">
      <c r="H122">
        <v>150</v>
      </c>
    </row>
    <row r="124" spans="1:9">
      <c r="H124">
        <f>+H121/H122</f>
        <v>6.5333333333333332</v>
      </c>
    </row>
    <row r="127" spans="1:9">
      <c r="F127">
        <v>22000</v>
      </c>
      <c r="G127" t="s">
        <v>226</v>
      </c>
    </row>
    <row r="128" spans="1:9">
      <c r="G128">
        <v>20000</v>
      </c>
    </row>
    <row r="129" spans="7:8">
      <c r="G129" s="1">
        <f>+F127*G128</f>
        <v>440000000</v>
      </c>
      <c r="H129" t="s">
        <v>226</v>
      </c>
    </row>
  </sheetData>
  <mergeCells count="1">
    <mergeCell ref="A4:A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11"/>
  <sheetViews>
    <sheetView topLeftCell="A34" workbookViewId="0">
      <selection activeCell="G45" sqref="G45"/>
    </sheetView>
  </sheetViews>
  <sheetFormatPr baseColWidth="10" defaultRowHeight="14.4"/>
  <sheetData>
    <row r="3" spans="1:22" ht="15.6">
      <c r="A3" s="27" t="s">
        <v>146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>
      <c r="A4" s="24"/>
      <c r="B4" s="29">
        <v>1995</v>
      </c>
      <c r="C4" s="29">
        <v>1996</v>
      </c>
      <c r="D4" s="29">
        <v>1997</v>
      </c>
      <c r="E4" s="29">
        <v>1998</v>
      </c>
      <c r="F4" s="29">
        <v>1999</v>
      </c>
      <c r="G4" s="29">
        <v>2000</v>
      </c>
      <c r="H4" s="29">
        <v>2001</v>
      </c>
      <c r="I4" s="29">
        <v>2002</v>
      </c>
      <c r="J4" s="29">
        <v>2003</v>
      </c>
      <c r="K4" s="29">
        <v>2004</v>
      </c>
      <c r="L4" s="29">
        <v>2005</v>
      </c>
      <c r="M4" s="29">
        <v>2006</v>
      </c>
      <c r="N4" s="29">
        <v>2007</v>
      </c>
      <c r="O4" s="29">
        <v>2008</v>
      </c>
      <c r="P4" s="29">
        <v>2009</v>
      </c>
      <c r="Q4" s="29">
        <v>2010</v>
      </c>
      <c r="R4" s="29">
        <v>2011</v>
      </c>
      <c r="S4" s="30">
        <v>2012</v>
      </c>
      <c r="T4" s="30">
        <v>2013</v>
      </c>
      <c r="U4" s="30">
        <v>2014</v>
      </c>
      <c r="V4" s="30">
        <v>2015</v>
      </c>
    </row>
    <row r="5" spans="1:22" ht="24">
      <c r="A5" s="25" t="s">
        <v>147</v>
      </c>
      <c r="B5" s="31">
        <v>49550.505231480071</v>
      </c>
      <c r="C5" s="31">
        <v>49519.422710654493</v>
      </c>
      <c r="D5" s="31">
        <v>49397.592263633196</v>
      </c>
      <c r="E5" s="31">
        <v>49552.25034026918</v>
      </c>
      <c r="F5" s="31">
        <v>50399.23570222783</v>
      </c>
      <c r="G5" s="31">
        <v>48850.57125103259</v>
      </c>
      <c r="H5" s="31">
        <v>49364.560260110899</v>
      </c>
      <c r="I5" s="31">
        <v>49536.89011820688</v>
      </c>
      <c r="J5" s="31">
        <v>48661.855746571877</v>
      </c>
      <c r="K5" s="31">
        <v>49183.580572525796</v>
      </c>
      <c r="L5" s="31">
        <v>47600.769211700477</v>
      </c>
      <c r="M5" s="31">
        <v>47566.896593031488</v>
      </c>
      <c r="N5" s="31">
        <v>46945.650588804579</v>
      </c>
      <c r="O5" s="31">
        <v>45876.674051973125</v>
      </c>
      <c r="P5" s="31">
        <v>45899.702540915256</v>
      </c>
      <c r="Q5" s="31">
        <v>45991.735071435956</v>
      </c>
      <c r="R5" s="31">
        <v>46448.000097603712</v>
      </c>
      <c r="S5" s="32">
        <v>45911.819123023983</v>
      </c>
      <c r="T5" s="32">
        <v>46281.901119892864</v>
      </c>
      <c r="U5" s="32">
        <v>47144.168564834283</v>
      </c>
      <c r="V5" s="32">
        <v>47497</v>
      </c>
    </row>
    <row r="6" spans="1:22">
      <c r="A6" s="26" t="s">
        <v>148</v>
      </c>
      <c r="B6" s="33">
        <v>18420.673076923078</v>
      </c>
      <c r="C6" s="33">
        <v>18544.471153846152</v>
      </c>
      <c r="D6" s="33">
        <v>18894.23076923077</v>
      </c>
      <c r="E6" s="33">
        <v>19520.432692307691</v>
      </c>
      <c r="F6" s="33">
        <v>21961.538461538461</v>
      </c>
      <c r="G6" s="33">
        <v>21287.259615384617</v>
      </c>
      <c r="H6" s="33">
        <v>21657.451923076922</v>
      </c>
      <c r="I6" s="33">
        <v>21337.740384615383</v>
      </c>
      <c r="J6" s="33">
        <v>20954.326923076922</v>
      </c>
      <c r="K6" s="33">
        <v>21358.173076923078</v>
      </c>
      <c r="L6" s="33">
        <v>21222.35576923077</v>
      </c>
      <c r="M6" s="33">
        <v>21062.5</v>
      </c>
      <c r="N6" s="33">
        <v>21585.336538461539</v>
      </c>
      <c r="O6" s="33">
        <v>21556.490384615383</v>
      </c>
      <c r="P6" s="33">
        <v>20521.634615384617</v>
      </c>
      <c r="Q6" s="33">
        <v>21091</v>
      </c>
      <c r="R6" s="33">
        <v>21371.39423076923</v>
      </c>
      <c r="S6" s="34">
        <v>21114.182692307695</v>
      </c>
      <c r="T6" s="34">
        <v>21364.182692307695</v>
      </c>
      <c r="U6" s="34">
        <v>21302.884615384617</v>
      </c>
      <c r="V6" s="34">
        <v>21843</v>
      </c>
    </row>
    <row r="7" spans="1:22">
      <c r="A7" s="28" t="s">
        <v>149</v>
      </c>
      <c r="B7" s="35">
        <v>67971.178308403149</v>
      </c>
      <c r="C7" s="35">
        <v>68063.893864500642</v>
      </c>
      <c r="D7" s="35">
        <v>68291.823032863962</v>
      </c>
      <c r="E7" s="35">
        <v>69072.683032576868</v>
      </c>
      <c r="F7" s="35">
        <v>72360.774163766298</v>
      </c>
      <c r="G7" s="35">
        <v>70137.830866417207</v>
      </c>
      <c r="H7" s="35">
        <v>71022.01218318782</v>
      </c>
      <c r="I7" s="35">
        <v>70874.630502822256</v>
      </c>
      <c r="J7" s="35">
        <v>69616.182669648799</v>
      </c>
      <c r="K7" s="35">
        <v>70541.753649448874</v>
      </c>
      <c r="L7" s="35">
        <v>68823.124980931243</v>
      </c>
      <c r="M7" s="35">
        <v>68629.396593031488</v>
      </c>
      <c r="N7" s="35">
        <v>68530.987127266126</v>
      </c>
      <c r="O7" s="35">
        <v>67433.1644365885</v>
      </c>
      <c r="P7" s="35">
        <v>66421.33715629988</v>
      </c>
      <c r="Q7" s="35">
        <v>67083.081225282105</v>
      </c>
      <c r="R7" s="35">
        <v>67819.394328372946</v>
      </c>
      <c r="S7" s="36">
        <v>67026.001815331678</v>
      </c>
      <c r="T7" s="36">
        <v>67646.083812200552</v>
      </c>
      <c r="U7" s="36">
        <v>68447.053180218907</v>
      </c>
      <c r="V7" s="36">
        <v>69339</v>
      </c>
    </row>
    <row r="8" spans="1:2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38"/>
    </row>
    <row r="9" spans="1:22">
      <c r="A9" s="24"/>
      <c r="B9" s="29">
        <v>1995</v>
      </c>
      <c r="C9" s="29">
        <v>1996</v>
      </c>
      <c r="D9" s="29">
        <v>1997</v>
      </c>
      <c r="E9" s="29">
        <v>1998</v>
      </c>
      <c r="F9" s="29">
        <v>1999</v>
      </c>
      <c r="G9" s="29">
        <v>2000</v>
      </c>
      <c r="H9" s="29">
        <v>2001</v>
      </c>
      <c r="I9" s="29">
        <v>2002</v>
      </c>
      <c r="J9" s="29">
        <v>2003</v>
      </c>
      <c r="K9" s="29">
        <v>2004</v>
      </c>
      <c r="L9" s="29">
        <v>2005</v>
      </c>
      <c r="M9" s="29">
        <v>2006</v>
      </c>
      <c r="N9" s="29">
        <v>2007</v>
      </c>
      <c r="O9" s="29">
        <v>2008</v>
      </c>
      <c r="P9" s="29">
        <v>2009</v>
      </c>
      <c r="Q9" s="29">
        <v>2010</v>
      </c>
      <c r="R9" s="29">
        <v>2011</v>
      </c>
      <c r="S9" s="30">
        <v>2012</v>
      </c>
      <c r="T9" s="30">
        <v>2013</v>
      </c>
      <c r="U9" s="30">
        <v>2014</v>
      </c>
      <c r="V9" s="30">
        <v>2015</v>
      </c>
    </row>
    <row r="10" spans="1:22" ht="24">
      <c r="A10" s="25" t="s">
        <v>147</v>
      </c>
      <c r="B10" s="39">
        <v>1</v>
      </c>
      <c r="C10" s="39">
        <v>0.99937271031485209</v>
      </c>
      <c r="D10" s="39">
        <v>0.99691399780622769</v>
      </c>
      <c r="E10" s="39">
        <v>1.0000352187890105</v>
      </c>
      <c r="F10" s="39">
        <v>1.0171285936799803</v>
      </c>
      <c r="G10" s="39">
        <v>0.98587433211472475</v>
      </c>
      <c r="H10" s="39">
        <v>0.99624736477457676</v>
      </c>
      <c r="I10" s="39">
        <v>0.99972522755904136</v>
      </c>
      <c r="J10" s="39">
        <v>0.98206578357260377</v>
      </c>
      <c r="K10" s="39">
        <v>0.99259493607098148</v>
      </c>
      <c r="L10" s="39">
        <v>0.96065154107569217</v>
      </c>
      <c r="M10" s="39">
        <v>0.95996794322919698</v>
      </c>
      <c r="N10" s="39">
        <v>0.94743031114402054</v>
      </c>
      <c r="O10" s="39">
        <v>0.92585683713325861</v>
      </c>
      <c r="P10" s="39">
        <v>0.92632158494631422</v>
      </c>
      <c r="Q10" s="39">
        <v>0.92817893292068432</v>
      </c>
      <c r="R10" s="39">
        <v>0.93738701312160799</v>
      </c>
      <c r="S10" s="39">
        <v>0.92656611488707119</v>
      </c>
      <c r="T10" s="39">
        <v>0.93403489840683562</v>
      </c>
      <c r="U10" s="39">
        <v>0.95143668756949407</v>
      </c>
      <c r="V10" s="40">
        <v>0.95855733010416511</v>
      </c>
    </row>
    <row r="11" spans="1:22">
      <c r="A11" s="26" t="s">
        <v>148</v>
      </c>
      <c r="B11" s="41">
        <v>1</v>
      </c>
      <c r="C11" s="41">
        <v>1.0067206055069815</v>
      </c>
      <c r="D11" s="41">
        <v>1.0257079472791335</v>
      </c>
      <c r="E11" s="41">
        <v>1.0597024663969723</v>
      </c>
      <c r="F11" s="41">
        <v>1.1922223672191048</v>
      </c>
      <c r="G11" s="41">
        <v>1.1556179042150594</v>
      </c>
      <c r="H11" s="41">
        <v>1.1757144721388488</v>
      </c>
      <c r="I11" s="41">
        <v>1.1583583452955759</v>
      </c>
      <c r="J11" s="41">
        <v>1.1375440428030796</v>
      </c>
      <c r="K11" s="41">
        <v>1.1594675714472138</v>
      </c>
      <c r="L11" s="41">
        <v>1.1520944799686805</v>
      </c>
      <c r="M11" s="41">
        <v>1.1434164165470442</v>
      </c>
      <c r="N11" s="41">
        <v>1.1717995563095394</v>
      </c>
      <c r="O11" s="41">
        <v>1.1702335899778153</v>
      </c>
      <c r="P11" s="41">
        <v>1.1140545478272217</v>
      </c>
      <c r="Q11" s="41">
        <v>1.1449635912827874</v>
      </c>
      <c r="R11" s="41">
        <v>1.1601853060159206</v>
      </c>
      <c r="S11" s="41">
        <v>1.1462221062247162</v>
      </c>
      <c r="T11" s="41">
        <v>1.1597938144329898</v>
      </c>
      <c r="U11" s="41">
        <v>1.1564661359780766</v>
      </c>
      <c r="V11" s="42">
        <v>1.1857872895732742</v>
      </c>
    </row>
    <row r="12" spans="1:22">
      <c r="A12" s="28" t="s">
        <v>149</v>
      </c>
      <c r="B12" s="43">
        <v>1</v>
      </c>
      <c r="C12" s="43">
        <v>1.0013640422073724</v>
      </c>
      <c r="D12" s="43">
        <v>1.0047173630418169</v>
      </c>
      <c r="E12" s="43">
        <v>1.0162054675464931</v>
      </c>
      <c r="F12" s="43">
        <v>1.0645802524629835</v>
      </c>
      <c r="G12" s="43">
        <v>1.0318760482300804</v>
      </c>
      <c r="H12" s="43">
        <v>1.0448842281494994</v>
      </c>
      <c r="I12" s="43">
        <v>1.0427159314679728</v>
      </c>
      <c r="J12" s="43">
        <v>1.0242014983730579</v>
      </c>
      <c r="K12" s="43">
        <v>1.03781860790146</v>
      </c>
      <c r="L12" s="43">
        <v>1.0125339400276774</v>
      </c>
      <c r="M12" s="43">
        <v>1.0096837851131817</v>
      </c>
      <c r="N12" s="43">
        <v>1.0082359734345487</v>
      </c>
      <c r="O12" s="43">
        <v>0.99208467639955367</v>
      </c>
      <c r="P12" s="43">
        <v>0.97719855399488254</v>
      </c>
      <c r="Q12" s="43">
        <v>0.98693421086373534</v>
      </c>
      <c r="R12" s="43">
        <v>0.99776693616606849</v>
      </c>
      <c r="S12" s="43">
        <v>0.98609445184570799</v>
      </c>
      <c r="T12" s="43">
        <v>0.99521717139097465</v>
      </c>
      <c r="U12" s="43">
        <v>1.0070011272962871</v>
      </c>
      <c r="V12" s="44">
        <v>1.0201235542127971</v>
      </c>
    </row>
    <row r="13" spans="1:22">
      <c r="A13" s="37" t="s">
        <v>150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45" t="s">
        <v>151</v>
      </c>
    </row>
    <row r="17" spans="2:23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2:23">
      <c r="B18" s="47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2:23" ht="15.6">
      <c r="B19" s="52" t="s">
        <v>152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2:23">
      <c r="B20" s="49"/>
      <c r="C20" s="57">
        <v>1995</v>
      </c>
      <c r="D20" s="57">
        <v>1996</v>
      </c>
      <c r="E20" s="57">
        <v>1997</v>
      </c>
      <c r="F20" s="57">
        <v>1998</v>
      </c>
      <c r="G20" s="57">
        <v>1999</v>
      </c>
      <c r="H20" s="57">
        <v>2000</v>
      </c>
      <c r="I20" s="57">
        <v>2001</v>
      </c>
      <c r="J20" s="57">
        <v>2002</v>
      </c>
      <c r="K20" s="57">
        <v>2003</v>
      </c>
      <c r="L20" s="57">
        <v>2004</v>
      </c>
      <c r="M20" s="57">
        <v>2005</v>
      </c>
      <c r="N20" s="57">
        <v>2006</v>
      </c>
      <c r="O20" s="57">
        <v>2007</v>
      </c>
      <c r="P20" s="57">
        <v>2008</v>
      </c>
      <c r="Q20" s="57">
        <v>2009</v>
      </c>
      <c r="R20" s="57">
        <v>2010</v>
      </c>
      <c r="S20" s="57">
        <v>2011</v>
      </c>
      <c r="T20" s="57">
        <v>2012</v>
      </c>
      <c r="U20" s="57">
        <v>2013</v>
      </c>
      <c r="V20" s="57">
        <v>2014</v>
      </c>
      <c r="W20" s="57">
        <v>2015</v>
      </c>
    </row>
    <row r="21" spans="2:23">
      <c r="B21" s="50" t="s">
        <v>124</v>
      </c>
      <c r="C21" s="58">
        <v>39816</v>
      </c>
      <c r="D21" s="58">
        <v>39691</v>
      </c>
      <c r="E21" s="58">
        <v>39679</v>
      </c>
      <c r="F21" s="58">
        <v>39747</v>
      </c>
      <c r="G21" s="58">
        <v>39895</v>
      </c>
      <c r="H21" s="58">
        <v>38129</v>
      </c>
      <c r="I21" s="58">
        <v>37380</v>
      </c>
      <c r="J21" s="58">
        <v>36633</v>
      </c>
      <c r="K21" s="58">
        <v>35332</v>
      </c>
      <c r="L21" s="58">
        <v>34852</v>
      </c>
      <c r="M21" s="58">
        <v>32520</v>
      </c>
      <c r="N21" s="58">
        <v>31157</v>
      </c>
      <c r="O21" s="58">
        <v>29896</v>
      </c>
      <c r="P21" s="58">
        <v>29031</v>
      </c>
      <c r="Q21" s="58">
        <v>28477</v>
      </c>
      <c r="R21" s="58">
        <v>27724</v>
      </c>
      <c r="S21" s="58">
        <v>27705</v>
      </c>
      <c r="T21" s="58">
        <v>26283</v>
      </c>
      <c r="U21" s="58">
        <v>25738</v>
      </c>
      <c r="V21" s="58">
        <v>25712</v>
      </c>
      <c r="W21" s="59">
        <v>25304</v>
      </c>
    </row>
    <row r="22" spans="2:23">
      <c r="B22" s="51" t="s">
        <v>125</v>
      </c>
      <c r="C22" s="60">
        <v>7447</v>
      </c>
      <c r="D22" s="60">
        <v>7498</v>
      </c>
      <c r="E22" s="60">
        <v>7332</v>
      </c>
      <c r="F22" s="60">
        <v>7389</v>
      </c>
      <c r="G22" s="60">
        <v>8050</v>
      </c>
      <c r="H22" s="60">
        <v>8260</v>
      </c>
      <c r="I22" s="60">
        <v>9494</v>
      </c>
      <c r="J22" s="60">
        <v>10529</v>
      </c>
      <c r="K22" s="60">
        <v>10958</v>
      </c>
      <c r="L22" s="60">
        <v>12210</v>
      </c>
      <c r="M22" s="60">
        <v>12740</v>
      </c>
      <c r="N22" s="60">
        <v>14058</v>
      </c>
      <c r="O22" s="60">
        <v>14854</v>
      </c>
      <c r="P22" s="60">
        <v>14717</v>
      </c>
      <c r="Q22" s="60">
        <v>15304</v>
      </c>
      <c r="R22" s="60">
        <v>16149</v>
      </c>
      <c r="S22" s="60">
        <v>16613</v>
      </c>
      <c r="T22" s="60">
        <v>17499</v>
      </c>
      <c r="U22" s="60">
        <v>18439</v>
      </c>
      <c r="V22" s="60">
        <v>19293</v>
      </c>
      <c r="W22" s="61">
        <v>20020</v>
      </c>
    </row>
    <row r="23" spans="2:23">
      <c r="B23" s="53" t="s">
        <v>149</v>
      </c>
      <c r="C23" s="62">
        <v>47263</v>
      </c>
      <c r="D23" s="62">
        <v>47189</v>
      </c>
      <c r="E23" s="62">
        <v>47011</v>
      </c>
      <c r="F23" s="62">
        <v>47136</v>
      </c>
      <c r="G23" s="62">
        <v>47945</v>
      </c>
      <c r="H23" s="62">
        <v>46389</v>
      </c>
      <c r="I23" s="62">
        <v>46874</v>
      </c>
      <c r="J23" s="62">
        <v>47162</v>
      </c>
      <c r="K23" s="62">
        <v>46290</v>
      </c>
      <c r="L23" s="62">
        <v>47062</v>
      </c>
      <c r="M23" s="62">
        <v>45260</v>
      </c>
      <c r="N23" s="62">
        <v>45215</v>
      </c>
      <c r="O23" s="62">
        <v>44750</v>
      </c>
      <c r="P23" s="62">
        <v>43748</v>
      </c>
      <c r="Q23" s="62">
        <v>43781</v>
      </c>
      <c r="R23" s="62">
        <v>43873</v>
      </c>
      <c r="S23" s="62">
        <v>44318</v>
      </c>
      <c r="T23" s="62">
        <v>43782</v>
      </c>
      <c r="U23" s="62">
        <v>44177</v>
      </c>
      <c r="V23" s="62">
        <v>45005</v>
      </c>
      <c r="W23" s="63">
        <v>45324</v>
      </c>
    </row>
    <row r="24" spans="2:23">
      <c r="B24" s="46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5"/>
    </row>
    <row r="25" spans="2:23">
      <c r="B25" s="49"/>
      <c r="C25" s="57">
        <v>1995</v>
      </c>
      <c r="D25" s="57">
        <v>1996</v>
      </c>
      <c r="E25" s="57">
        <v>1997</v>
      </c>
      <c r="F25" s="57">
        <v>1998</v>
      </c>
      <c r="G25" s="57">
        <v>1999</v>
      </c>
      <c r="H25" s="57">
        <v>2000</v>
      </c>
      <c r="I25" s="57">
        <v>2001</v>
      </c>
      <c r="J25" s="57">
        <v>2002</v>
      </c>
      <c r="K25" s="57">
        <v>2003</v>
      </c>
      <c r="L25" s="57">
        <v>2004</v>
      </c>
      <c r="M25" s="57">
        <v>2005</v>
      </c>
      <c r="N25" s="57">
        <v>2006</v>
      </c>
      <c r="O25" s="57">
        <v>2007</v>
      </c>
      <c r="P25" s="57">
        <v>2008</v>
      </c>
      <c r="Q25" s="57">
        <v>2009</v>
      </c>
      <c r="R25" s="57">
        <v>2010</v>
      </c>
      <c r="S25" s="57">
        <v>2011</v>
      </c>
      <c r="T25" s="57">
        <v>2012</v>
      </c>
      <c r="U25" s="57">
        <v>2013</v>
      </c>
      <c r="V25" s="57">
        <v>2014</v>
      </c>
      <c r="W25" s="66">
        <v>2015</v>
      </c>
    </row>
    <row r="26" spans="2:23">
      <c r="B26" s="50" t="s">
        <v>124</v>
      </c>
      <c r="C26" s="69">
        <v>1</v>
      </c>
      <c r="D26" s="69">
        <v>0.99686055856941935</v>
      </c>
      <c r="E26" s="69">
        <v>0.99655917219208356</v>
      </c>
      <c r="F26" s="69">
        <v>0.99826702833031944</v>
      </c>
      <c r="G26" s="69">
        <v>1.001984126984127</v>
      </c>
      <c r="H26" s="69">
        <v>0.95763009845288327</v>
      </c>
      <c r="I26" s="69">
        <v>0.93881856540084385</v>
      </c>
      <c r="J26" s="69">
        <v>0.9200572634116938</v>
      </c>
      <c r="K26" s="69">
        <v>0.88738195700221012</v>
      </c>
      <c r="L26" s="69">
        <v>0.87532650190878036</v>
      </c>
      <c r="M26" s="69">
        <v>0.81675708257986734</v>
      </c>
      <c r="N26" s="69">
        <v>0.78252461322081579</v>
      </c>
      <c r="O26" s="69">
        <v>0.75085392806911799</v>
      </c>
      <c r="P26" s="69">
        <v>0.72912899336949966</v>
      </c>
      <c r="Q26" s="69">
        <v>0.71521498894916613</v>
      </c>
      <c r="R26" s="69">
        <v>0.69630299377134819</v>
      </c>
      <c r="S26" s="69">
        <v>0.69582579867389993</v>
      </c>
      <c r="T26" s="69">
        <v>0.66011151295961423</v>
      </c>
      <c r="U26" s="69">
        <v>0.64642354832228255</v>
      </c>
      <c r="V26" s="69">
        <v>0.64577054450472171</v>
      </c>
      <c r="W26" s="70">
        <v>0.63552340767530646</v>
      </c>
    </row>
    <row r="27" spans="2:23">
      <c r="B27" s="51" t="s">
        <v>125</v>
      </c>
      <c r="C27" s="71">
        <v>1</v>
      </c>
      <c r="D27" s="71">
        <v>1.0068483953269773</v>
      </c>
      <c r="E27" s="71">
        <v>0.98455753994897277</v>
      </c>
      <c r="F27" s="71">
        <v>0.99221162884382974</v>
      </c>
      <c r="G27" s="71">
        <v>1.080972203571908</v>
      </c>
      <c r="H27" s="71">
        <v>1.1091714784476971</v>
      </c>
      <c r="I27" s="71">
        <v>1.2748757889082851</v>
      </c>
      <c r="J27" s="71">
        <v>1.4138579293675306</v>
      </c>
      <c r="K27" s="71">
        <v>1.4714650194709278</v>
      </c>
      <c r="L27" s="71">
        <v>1.6395864106351552</v>
      </c>
      <c r="M27" s="71">
        <v>1.7107560091311937</v>
      </c>
      <c r="N27" s="71">
        <v>1.8877400295420974</v>
      </c>
      <c r="O27" s="71">
        <v>1.9946287095474688</v>
      </c>
      <c r="P27" s="71">
        <v>1.9762320397475492</v>
      </c>
      <c r="Q27" s="71">
        <v>2.0550557271384449</v>
      </c>
      <c r="R27" s="71">
        <v>2.1685242379481671</v>
      </c>
      <c r="S27" s="71">
        <v>2.2308312071975291</v>
      </c>
      <c r="T27" s="71">
        <v>2.3498052907210956</v>
      </c>
      <c r="U27" s="71">
        <v>2.4760306163555796</v>
      </c>
      <c r="V27" s="71">
        <v>2.5907076675171208</v>
      </c>
      <c r="W27" s="72">
        <v>2.6883308714918761</v>
      </c>
    </row>
    <row r="28" spans="2:23">
      <c r="B28" s="53" t="s">
        <v>149</v>
      </c>
      <c r="C28" s="67">
        <v>1</v>
      </c>
      <c r="D28" s="67">
        <v>0.99843429321033361</v>
      </c>
      <c r="E28" s="67">
        <v>0.99466813363519035</v>
      </c>
      <c r="F28" s="67">
        <v>0.99731290861773481</v>
      </c>
      <c r="G28" s="67">
        <v>1.0144298923047628</v>
      </c>
      <c r="H28" s="67">
        <v>0.98150773332204899</v>
      </c>
      <c r="I28" s="67">
        <v>0.99176946025432156</v>
      </c>
      <c r="J28" s="67">
        <v>0.99786302181410402</v>
      </c>
      <c r="K28" s="67">
        <v>0.97941307153587376</v>
      </c>
      <c r="L28" s="67">
        <v>0.99574720182806842</v>
      </c>
      <c r="M28" s="67">
        <v>0.95762012567970722</v>
      </c>
      <c r="N28" s="67">
        <v>0.95666800668599117</v>
      </c>
      <c r="O28" s="67">
        <v>0.9468294437509257</v>
      </c>
      <c r="P28" s="67">
        <v>0.92562892749084913</v>
      </c>
      <c r="Q28" s="67">
        <v>0.92632714808624084</v>
      </c>
      <c r="R28" s="67">
        <v>0.92827370247339358</v>
      </c>
      <c r="S28" s="67">
        <v>0.93768910141125195</v>
      </c>
      <c r="T28" s="67">
        <v>0.92634830628610121</v>
      </c>
      <c r="U28" s="67">
        <v>0.93470579523094177</v>
      </c>
      <c r="V28" s="67">
        <v>0.95222478471531646</v>
      </c>
      <c r="W28" s="68">
        <v>0.9589742504707699</v>
      </c>
    </row>
    <row r="29" spans="2:23">
      <c r="B29" s="55" t="s">
        <v>150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6" t="s">
        <v>151</v>
      </c>
    </row>
    <row r="30" spans="2:23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2:23" ht="15.6">
      <c r="E31" s="15" t="s">
        <v>158</v>
      </c>
      <c r="F31" s="15" t="s">
        <v>160</v>
      </c>
      <c r="G31" s="15" t="s">
        <v>161</v>
      </c>
      <c r="H31" s="15" t="s">
        <v>162</v>
      </c>
    </row>
    <row r="32" spans="2:23">
      <c r="E32" s="15" t="s">
        <v>159</v>
      </c>
      <c r="F32" s="15" t="s">
        <v>159</v>
      </c>
      <c r="G32" s="15" t="s">
        <v>159</v>
      </c>
      <c r="H32" s="15" t="s">
        <v>159</v>
      </c>
    </row>
    <row r="33" spans="2:8">
      <c r="B33" t="s">
        <v>125</v>
      </c>
      <c r="C33" s="15" t="s">
        <v>157</v>
      </c>
      <c r="D33" s="73">
        <v>41640</v>
      </c>
      <c r="E33" s="15">
        <v>0.5</v>
      </c>
      <c r="F33" s="15">
        <v>0.17</v>
      </c>
      <c r="G33" s="15">
        <v>0.08</v>
      </c>
      <c r="H33" s="15">
        <v>5.0000000000000001E-3</v>
      </c>
    </row>
    <row r="34" spans="2:8">
      <c r="B34" t="s">
        <v>124</v>
      </c>
      <c r="E34">
        <v>1</v>
      </c>
      <c r="G34">
        <v>0.06</v>
      </c>
    </row>
    <row r="42" spans="2:8">
      <c r="C42" t="s">
        <v>164</v>
      </c>
    </row>
    <row r="43" spans="2:8">
      <c r="C43" t="s">
        <v>165</v>
      </c>
    </row>
    <row r="44" spans="2:8">
      <c r="C44" t="s">
        <v>166</v>
      </c>
      <c r="G44">
        <f>33/8.9</f>
        <v>3.7078651685393256</v>
      </c>
    </row>
    <row r="46" spans="2:8">
      <c r="C46" t="s">
        <v>227</v>
      </c>
      <c r="G46">
        <v>55</v>
      </c>
      <c r="H46" t="s">
        <v>228</v>
      </c>
    </row>
    <row r="47" spans="2:8">
      <c r="C47" t="s">
        <v>167</v>
      </c>
    </row>
    <row r="48" spans="2:8">
      <c r="C48" t="s">
        <v>168</v>
      </c>
    </row>
    <row r="50" spans="2:3">
      <c r="C50" t="s">
        <v>169</v>
      </c>
    </row>
    <row r="51" spans="2:3">
      <c r="C51" t="s">
        <v>170</v>
      </c>
    </row>
    <row r="52" spans="2:3">
      <c r="C52" t="s">
        <v>171</v>
      </c>
    </row>
    <row r="57" spans="2:3">
      <c r="B57" s="81"/>
    </row>
    <row r="58" spans="2:3">
      <c r="B58" s="81"/>
    </row>
    <row r="59" spans="2:3">
      <c r="B59" s="81"/>
    </row>
    <row r="60" spans="2:3">
      <c r="B60" s="81"/>
    </row>
    <row r="61" spans="2:3">
      <c r="B61" s="81"/>
    </row>
    <row r="62" spans="2:3">
      <c r="B62" s="81"/>
    </row>
    <row r="63" spans="2:3">
      <c r="B63" s="81"/>
    </row>
    <row r="64" spans="2:3">
      <c r="B64" s="81"/>
    </row>
    <row r="65" spans="2:2">
      <c r="B65" s="81"/>
    </row>
    <row r="66" spans="2:2">
      <c r="B66" s="81"/>
    </row>
    <row r="67" spans="2:2">
      <c r="B67" s="81"/>
    </row>
    <row r="68" spans="2:2">
      <c r="B68" s="81"/>
    </row>
    <row r="69" spans="2:2">
      <c r="B69" s="81"/>
    </row>
    <row r="70" spans="2:2">
      <c r="B70" s="81"/>
    </row>
    <row r="71" spans="2:2">
      <c r="B71" s="81"/>
    </row>
    <row r="72" spans="2:2">
      <c r="B72" s="81"/>
    </row>
    <row r="73" spans="2:2">
      <c r="B73" s="81"/>
    </row>
    <row r="74" spans="2:2">
      <c r="B74" s="81"/>
    </row>
    <row r="75" spans="2:2">
      <c r="B75" s="81"/>
    </row>
    <row r="76" spans="2:2">
      <c r="B76" s="81"/>
    </row>
    <row r="77" spans="2:2">
      <c r="B77" s="81"/>
    </row>
    <row r="78" spans="2:2">
      <c r="B78" s="81"/>
    </row>
    <row r="79" spans="2:2">
      <c r="B79" s="81"/>
    </row>
    <row r="80" spans="2:2">
      <c r="B80" s="81"/>
    </row>
    <row r="81" spans="2:2">
      <c r="B81" s="81"/>
    </row>
    <row r="82" spans="2:2">
      <c r="B82" s="81"/>
    </row>
    <row r="83" spans="2:2">
      <c r="B83" s="81"/>
    </row>
    <row r="84" spans="2:2">
      <c r="B84" s="81"/>
    </row>
    <row r="85" spans="2:2">
      <c r="B85" s="81"/>
    </row>
    <row r="86" spans="2:2">
      <c r="B86" s="81"/>
    </row>
    <row r="87" spans="2:2">
      <c r="B87" s="81"/>
    </row>
    <row r="88" spans="2:2">
      <c r="B88" s="81"/>
    </row>
    <row r="89" spans="2:2">
      <c r="B89" s="81"/>
    </row>
    <row r="90" spans="2:2">
      <c r="B90" s="81"/>
    </row>
    <row r="91" spans="2:2">
      <c r="B91" s="81"/>
    </row>
    <row r="92" spans="2:2">
      <c r="B92" s="81"/>
    </row>
    <row r="93" spans="2:2">
      <c r="B93" s="81"/>
    </row>
    <row r="94" spans="2:2">
      <c r="B94" s="81"/>
    </row>
    <row r="95" spans="2:2">
      <c r="B95" s="81"/>
    </row>
    <row r="96" spans="2:2">
      <c r="B96" s="81"/>
    </row>
    <row r="97" spans="2:2">
      <c r="B97" s="81"/>
    </row>
    <row r="98" spans="2:2">
      <c r="B98" s="81"/>
    </row>
    <row r="99" spans="2:2">
      <c r="B99" s="81"/>
    </row>
    <row r="100" spans="2:2">
      <c r="B100" s="81"/>
    </row>
    <row r="101" spans="2:2">
      <c r="B101" s="81"/>
    </row>
    <row r="102" spans="2:2">
      <c r="B102" s="81"/>
    </row>
    <row r="103" spans="2:2">
      <c r="B103" s="81"/>
    </row>
    <row r="104" spans="2:2">
      <c r="B104" s="81"/>
    </row>
    <row r="105" spans="2:2">
      <c r="B105" s="81"/>
    </row>
    <row r="106" spans="2:2">
      <c r="B106" s="81"/>
    </row>
    <row r="107" spans="2:2">
      <c r="B107" s="81"/>
    </row>
    <row r="108" spans="2:2">
      <c r="B108" s="81"/>
    </row>
    <row r="109" spans="2:2">
      <c r="B109" s="81"/>
    </row>
    <row r="110" spans="2:2">
      <c r="B110" s="81"/>
    </row>
    <row r="111" spans="2:2">
      <c r="B111" s="81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6"/>
  <sheetViews>
    <sheetView workbookViewId="0">
      <selection activeCell="G3" sqref="G3"/>
    </sheetView>
  </sheetViews>
  <sheetFormatPr baseColWidth="10" defaultRowHeight="14.4"/>
  <cols>
    <col min="2" max="2" width="13" bestFit="1" customWidth="1"/>
    <col min="3" max="3" width="20.88671875" bestFit="1" customWidth="1"/>
    <col min="4" max="4" width="7.109375" customWidth="1"/>
    <col min="5" max="5" width="12.5546875" style="46" bestFit="1" customWidth="1"/>
    <col min="6" max="6" width="23.21875" style="46" bestFit="1" customWidth="1"/>
    <col min="7" max="7" width="22.5546875" bestFit="1" customWidth="1"/>
    <col min="9" max="10" width="17.33203125" bestFit="1" customWidth="1"/>
  </cols>
  <sheetData>
    <row r="1" spans="1:10">
      <c r="A1" s="19" t="s">
        <v>279</v>
      </c>
      <c r="E1" s="46" t="s">
        <v>314</v>
      </c>
      <c r="G1" s="19" t="s">
        <v>313</v>
      </c>
      <c r="J1" t="s">
        <v>280</v>
      </c>
    </row>
    <row r="2" spans="1:10">
      <c r="A2" t="s">
        <v>278</v>
      </c>
      <c r="C2" s="1">
        <f>+C5/B5*1</f>
        <v>687916666666666.75</v>
      </c>
      <c r="D2" t="s">
        <v>276</v>
      </c>
      <c r="F2" s="46" t="s">
        <v>214</v>
      </c>
      <c r="G2" s="1">
        <v>594700000000000</v>
      </c>
      <c r="H2" t="s">
        <v>276</v>
      </c>
      <c r="I2" s="7">
        <f>+J2/C2</f>
        <v>0.13550575408843135</v>
      </c>
      <c r="J2" s="1">
        <f>+C2-G2</f>
        <v>93216666666666.75</v>
      </c>
    </row>
    <row r="3" spans="1:10">
      <c r="F3" s="46" t="s">
        <v>315</v>
      </c>
      <c r="G3" s="1">
        <f>+'Fakten und Zahlen'!K87*1000*0.8</f>
        <v>275200000000000</v>
      </c>
    </row>
    <row r="4" spans="1:10">
      <c r="F4" s="46" t="s">
        <v>253</v>
      </c>
      <c r="G4" s="1">
        <f>+G2+G3</f>
        <v>869900000000000</v>
      </c>
    </row>
    <row r="5" spans="1:10">
      <c r="A5" t="s">
        <v>277</v>
      </c>
      <c r="B5" s="7">
        <v>0.06</v>
      </c>
      <c r="C5" s="1">
        <v>41275000000000</v>
      </c>
      <c r="D5" t="s">
        <v>276</v>
      </c>
      <c r="E5" s="46">
        <v>10</v>
      </c>
      <c r="G5" s="1">
        <f>+C5*E5</f>
        <v>412750000000000</v>
      </c>
      <c r="J5" s="1">
        <f>+G56</f>
        <v>8655000000</v>
      </c>
    </row>
    <row r="6" spans="1:10">
      <c r="A6" t="s">
        <v>182</v>
      </c>
      <c r="B6" s="82">
        <v>0.123</v>
      </c>
      <c r="C6" s="1">
        <f>+C$2*B6</f>
        <v>84613750000000.016</v>
      </c>
      <c r="D6" s="46" t="s">
        <v>276</v>
      </c>
      <c r="E6" s="46">
        <v>3.5</v>
      </c>
      <c r="G6" s="1">
        <f t="shared" ref="G6:G8" si="0">+C6*E6</f>
        <v>296148125000000.06</v>
      </c>
    </row>
    <row r="7" spans="1:10">
      <c r="A7" t="s">
        <v>188</v>
      </c>
      <c r="B7" s="82">
        <v>9.9000000000000005E-2</v>
      </c>
      <c r="C7" s="1">
        <f>+C$2*B7</f>
        <v>68103750000000.008</v>
      </c>
      <c r="D7" s="46" t="s">
        <v>276</v>
      </c>
      <c r="E7" s="46">
        <v>2</v>
      </c>
      <c r="G7" s="1">
        <f t="shared" si="0"/>
        <v>136207500000000.02</v>
      </c>
      <c r="J7" t="s">
        <v>32</v>
      </c>
    </row>
    <row r="8" spans="1:10">
      <c r="A8" t="s">
        <v>187</v>
      </c>
      <c r="B8" s="82">
        <v>3.2000000000000001E-2</v>
      </c>
      <c r="C8" s="1">
        <f>+C$2*B8</f>
        <v>22013333333333.336</v>
      </c>
      <c r="D8" s="46" t="s">
        <v>276</v>
      </c>
      <c r="E8" s="46">
        <v>1</v>
      </c>
      <c r="G8" s="1">
        <f t="shared" si="0"/>
        <v>22013333333333.336</v>
      </c>
    </row>
    <row r="9" spans="1:10">
      <c r="G9" s="1"/>
    </row>
    <row r="10" spans="1:10">
      <c r="G10" s="1">
        <f>+G4-G5-G6-G7-G8</f>
        <v>2781041666666.5859</v>
      </c>
    </row>
    <row r="26" spans="2:7">
      <c r="B26" t="s">
        <v>316</v>
      </c>
      <c r="D26" t="s">
        <v>312</v>
      </c>
    </row>
    <row r="27" spans="2:7">
      <c r="B27" s="83" t="s">
        <v>281</v>
      </c>
      <c r="C27" s="15" t="s">
        <v>282</v>
      </c>
      <c r="D27" s="14">
        <v>348</v>
      </c>
      <c r="E27" s="14"/>
      <c r="F27" s="14"/>
      <c r="G27" s="1">
        <f t="shared" ref="G27:G47" si="1">+D27*1000*1000</f>
        <v>348000000</v>
      </c>
    </row>
    <row r="28" spans="2:7">
      <c r="B28" s="83" t="s">
        <v>283</v>
      </c>
      <c r="C28" s="15" t="s">
        <v>282</v>
      </c>
      <c r="D28" s="14">
        <v>385</v>
      </c>
      <c r="E28" s="14"/>
      <c r="F28" s="14"/>
      <c r="G28" s="1">
        <f t="shared" si="1"/>
        <v>385000000</v>
      </c>
    </row>
    <row r="29" spans="2:7">
      <c r="B29" s="83" t="s">
        <v>284</v>
      </c>
      <c r="C29" s="15" t="s">
        <v>285</v>
      </c>
      <c r="D29" s="14">
        <v>395</v>
      </c>
      <c r="E29" s="14"/>
      <c r="F29" s="14"/>
      <c r="G29" s="1">
        <f t="shared" si="1"/>
        <v>395000000</v>
      </c>
    </row>
    <row r="30" spans="2:7">
      <c r="B30" s="83" t="s">
        <v>286</v>
      </c>
      <c r="C30" s="15" t="s">
        <v>285</v>
      </c>
      <c r="D30" s="14">
        <v>60</v>
      </c>
      <c r="E30" s="14"/>
      <c r="F30" s="14"/>
      <c r="G30" s="1">
        <f t="shared" si="1"/>
        <v>60000000</v>
      </c>
    </row>
    <row r="31" spans="2:7" ht="28.8">
      <c r="B31" s="83" t="s">
        <v>287</v>
      </c>
      <c r="C31" s="15" t="s">
        <v>285</v>
      </c>
      <c r="D31" s="14">
        <v>288</v>
      </c>
      <c r="E31" s="14"/>
      <c r="F31" s="14"/>
      <c r="G31" s="1">
        <f t="shared" si="1"/>
        <v>288000000</v>
      </c>
    </row>
    <row r="32" spans="2:7">
      <c r="B32" s="83" t="s">
        <v>288</v>
      </c>
      <c r="C32" s="15" t="s">
        <v>282</v>
      </c>
      <c r="D32" s="14">
        <v>48</v>
      </c>
      <c r="E32" s="14"/>
      <c r="F32" s="14"/>
      <c r="G32" s="1">
        <f t="shared" si="1"/>
        <v>48000000</v>
      </c>
    </row>
    <row r="33" spans="2:7">
      <c r="B33" s="83" t="s">
        <v>289</v>
      </c>
      <c r="C33" s="15" t="s">
        <v>282</v>
      </c>
      <c r="D33" s="14">
        <v>288</v>
      </c>
      <c r="E33" s="14"/>
      <c r="F33" s="14"/>
      <c r="G33" s="1">
        <f t="shared" si="1"/>
        <v>288000000</v>
      </c>
    </row>
    <row r="34" spans="2:7" ht="28.8">
      <c r="B34" s="83" t="s">
        <v>290</v>
      </c>
      <c r="C34" s="15" t="s">
        <v>285</v>
      </c>
      <c r="D34" s="14">
        <v>400</v>
      </c>
      <c r="E34" s="14"/>
      <c r="F34" s="14"/>
      <c r="G34" s="1">
        <f t="shared" si="1"/>
        <v>400000000</v>
      </c>
    </row>
    <row r="35" spans="2:7" ht="28.8">
      <c r="B35" s="83" t="s">
        <v>291</v>
      </c>
      <c r="C35" s="15" t="s">
        <v>285</v>
      </c>
      <c r="D35" s="14">
        <v>448</v>
      </c>
      <c r="E35" s="14"/>
      <c r="F35" s="14"/>
      <c r="G35" s="1">
        <f t="shared" si="1"/>
        <v>448000000</v>
      </c>
    </row>
    <row r="36" spans="2:7" ht="43.2">
      <c r="B36" s="83" t="s">
        <v>292</v>
      </c>
      <c r="C36" s="15" t="s">
        <v>285</v>
      </c>
      <c r="D36" s="14">
        <v>270</v>
      </c>
      <c r="E36" s="14"/>
      <c r="F36" s="14"/>
      <c r="G36" s="1">
        <f t="shared" si="1"/>
        <v>270000000</v>
      </c>
    </row>
    <row r="37" spans="2:7">
      <c r="B37" s="83" t="s">
        <v>293</v>
      </c>
      <c r="C37" s="15" t="s">
        <v>285</v>
      </c>
      <c r="D37" s="14">
        <v>288</v>
      </c>
      <c r="E37" s="14"/>
      <c r="F37" s="14"/>
      <c r="G37" s="1">
        <f t="shared" si="1"/>
        <v>288000000</v>
      </c>
    </row>
    <row r="38" spans="2:7">
      <c r="B38" s="83" t="s">
        <v>294</v>
      </c>
      <c r="C38" s="15" t="s">
        <v>285</v>
      </c>
      <c r="D38" s="14">
        <v>288</v>
      </c>
      <c r="E38" s="14"/>
      <c r="F38" s="14"/>
      <c r="G38" s="1">
        <f t="shared" si="1"/>
        <v>288000000</v>
      </c>
    </row>
    <row r="39" spans="2:7" ht="28.8">
      <c r="B39" s="83" t="s">
        <v>295</v>
      </c>
      <c r="C39" s="15" t="s">
        <v>285</v>
      </c>
      <c r="D39" s="14"/>
      <c r="E39" s="14"/>
      <c r="F39" s="14"/>
      <c r="G39" s="1">
        <f t="shared" si="1"/>
        <v>0</v>
      </c>
    </row>
    <row r="40" spans="2:7">
      <c r="B40" s="83" t="s">
        <v>296</v>
      </c>
      <c r="C40" s="15" t="s">
        <v>285</v>
      </c>
      <c r="D40" s="14">
        <v>400</v>
      </c>
      <c r="E40" s="14"/>
      <c r="F40" s="14"/>
      <c r="G40" s="1">
        <f t="shared" si="1"/>
        <v>400000000</v>
      </c>
    </row>
    <row r="41" spans="2:7">
      <c r="B41" s="83" t="s">
        <v>297</v>
      </c>
      <c r="C41" s="15" t="s">
        <v>285</v>
      </c>
      <c r="D41" s="14">
        <v>330</v>
      </c>
      <c r="E41" s="14"/>
      <c r="F41" s="14"/>
      <c r="G41" s="1">
        <f t="shared" si="1"/>
        <v>330000000</v>
      </c>
    </row>
    <row r="42" spans="2:7">
      <c r="B42" s="83" t="s">
        <v>298</v>
      </c>
      <c r="C42" s="15" t="s">
        <v>285</v>
      </c>
      <c r="D42" s="14">
        <v>252</v>
      </c>
      <c r="E42" s="14"/>
      <c r="F42" s="14"/>
      <c r="G42" s="1">
        <f t="shared" si="1"/>
        <v>252000000</v>
      </c>
    </row>
    <row r="43" spans="2:7">
      <c r="B43" s="83" t="s">
        <v>299</v>
      </c>
      <c r="C43" s="15" t="s">
        <v>285</v>
      </c>
      <c r="D43" s="14">
        <v>900</v>
      </c>
      <c r="E43" s="14"/>
      <c r="F43" s="14"/>
      <c r="G43" s="1">
        <f t="shared" si="1"/>
        <v>900000000</v>
      </c>
    </row>
    <row r="44" spans="2:7">
      <c r="B44" s="83" t="s">
        <v>300</v>
      </c>
      <c r="C44" s="15" t="s">
        <v>285</v>
      </c>
      <c r="D44" s="14">
        <v>497</v>
      </c>
      <c r="E44" s="14"/>
      <c r="F44" s="14"/>
      <c r="G44" s="1">
        <f t="shared" si="1"/>
        <v>497000000</v>
      </c>
    </row>
    <row r="45" spans="2:7">
      <c r="B45" s="83" t="s">
        <v>301</v>
      </c>
      <c r="C45" s="15" t="s">
        <v>285</v>
      </c>
      <c r="D45" s="14">
        <v>288</v>
      </c>
      <c r="E45" s="14"/>
      <c r="F45" s="14"/>
      <c r="G45" s="1">
        <f t="shared" si="1"/>
        <v>288000000</v>
      </c>
    </row>
    <row r="46" spans="2:7">
      <c r="B46" s="83" t="s">
        <v>302</v>
      </c>
      <c r="C46" s="15" t="s">
        <v>285</v>
      </c>
      <c r="D46" s="14">
        <v>396</v>
      </c>
      <c r="E46" s="14"/>
      <c r="F46" s="14"/>
      <c r="G46" s="1">
        <f t="shared" si="1"/>
        <v>396000000</v>
      </c>
    </row>
    <row r="47" spans="2:7">
      <c r="B47" s="83" t="s">
        <v>303</v>
      </c>
      <c r="C47" s="15" t="s">
        <v>285</v>
      </c>
      <c r="D47" s="14">
        <v>111</v>
      </c>
      <c r="E47" s="14"/>
      <c r="F47" s="14"/>
      <c r="G47" s="1">
        <f t="shared" si="1"/>
        <v>111000000</v>
      </c>
    </row>
    <row r="48" spans="2:7" ht="28.8">
      <c r="B48" s="83" t="s">
        <v>304</v>
      </c>
      <c r="C48" s="15" t="s">
        <v>285</v>
      </c>
      <c r="D48" s="14" t="s">
        <v>32</v>
      </c>
      <c r="E48" s="14"/>
      <c r="F48" s="14"/>
      <c r="G48" s="1" t="s">
        <v>32</v>
      </c>
    </row>
    <row r="49" spans="2:9">
      <c r="B49" s="83" t="s">
        <v>305</v>
      </c>
      <c r="C49" s="15" t="s">
        <v>285</v>
      </c>
      <c r="D49" s="14">
        <v>332</v>
      </c>
      <c r="E49" s="14"/>
      <c r="F49" s="14"/>
      <c r="G49" s="1">
        <f t="shared" ref="G49:G56" si="2">+D49*1000*1000</f>
        <v>332000000</v>
      </c>
    </row>
    <row r="50" spans="2:9">
      <c r="B50" s="83" t="s">
        <v>306</v>
      </c>
      <c r="C50" s="15" t="s">
        <v>285</v>
      </c>
      <c r="D50" s="14">
        <v>295</v>
      </c>
      <c r="E50" s="14"/>
      <c r="F50" s="14"/>
      <c r="G50" s="1">
        <f t="shared" si="2"/>
        <v>295000000</v>
      </c>
    </row>
    <row r="51" spans="2:9">
      <c r="B51" s="83" t="s">
        <v>307</v>
      </c>
      <c r="C51" s="15" t="s">
        <v>285</v>
      </c>
      <c r="D51" s="14">
        <v>108</v>
      </c>
      <c r="E51" s="14"/>
      <c r="F51" s="14"/>
      <c r="G51" s="1">
        <f t="shared" si="2"/>
        <v>108000000</v>
      </c>
    </row>
    <row r="52" spans="2:9">
      <c r="B52" s="83" t="s">
        <v>308</v>
      </c>
      <c r="C52" s="15" t="s">
        <v>285</v>
      </c>
      <c r="D52" s="14">
        <v>288</v>
      </c>
      <c r="E52" s="14"/>
      <c r="F52" s="14"/>
      <c r="G52" s="1">
        <f t="shared" si="2"/>
        <v>288000000</v>
      </c>
    </row>
    <row r="53" spans="2:9" ht="43.2">
      <c r="B53" s="83" t="s">
        <v>309</v>
      </c>
      <c r="C53" s="15" t="s">
        <v>285</v>
      </c>
      <c r="D53" s="14">
        <v>200</v>
      </c>
      <c r="E53" s="14"/>
      <c r="F53" s="14"/>
      <c r="G53" s="1">
        <f t="shared" si="2"/>
        <v>200000000</v>
      </c>
    </row>
    <row r="54" spans="2:9">
      <c r="B54" s="83" t="s">
        <v>310</v>
      </c>
      <c r="C54" s="15" t="s">
        <v>285</v>
      </c>
      <c r="D54" s="14">
        <v>402</v>
      </c>
      <c r="E54" s="14"/>
      <c r="F54" s="14"/>
      <c r="G54" s="1">
        <f t="shared" si="2"/>
        <v>402000000</v>
      </c>
      <c r="I54" t="s">
        <v>32</v>
      </c>
    </row>
    <row r="55" spans="2:9">
      <c r="B55" s="83" t="s">
        <v>311</v>
      </c>
      <c r="C55" s="15" t="s">
        <v>282</v>
      </c>
      <c r="D55" s="14">
        <v>350</v>
      </c>
      <c r="E55" s="14"/>
      <c r="F55" s="14"/>
      <c r="G55" s="1">
        <f t="shared" si="2"/>
        <v>350000000</v>
      </c>
    </row>
    <row r="56" spans="2:9">
      <c r="D56" s="1">
        <f>SUM(D27:D55)</f>
        <v>8655</v>
      </c>
      <c r="E56" s="1"/>
      <c r="F56" s="1"/>
      <c r="G56" s="1">
        <f t="shared" si="2"/>
        <v>8655000000</v>
      </c>
    </row>
  </sheetData>
  <hyperlinks>
    <hyperlink ref="B27" r:id="rId1" tooltip="Offshore-Windpark Arcadis Ost 1" display="https://de.wikipedia.org/wiki/Offshore-Windpark_Arcadis_Ost_1"/>
    <hyperlink ref="B28" r:id="rId2" tooltip="Offshore-Windpark Arkona" display="https://de.wikipedia.org/wiki/Offshore-Windpark_Arkona"/>
    <hyperlink ref="B29" r:id="rId3" tooltip="Offshore-Windpark Albatros" display="https://de.wikipedia.org/wiki/Offshore-Windpark_Albatros"/>
    <hyperlink ref="B30" r:id="rId4" tooltip="Offshore-Windpark alpha ventus" display="https://de.wikipedia.org/wiki/Offshore-Windpark_alpha_ventus"/>
    <hyperlink ref="B31" r:id="rId5" tooltip="Offshore-Windpark Amrumbank West" display="https://de.wikipedia.org/wiki/Offshore-Windpark_Amrumbank_West"/>
    <hyperlink ref="B32" r:id="rId6" tooltip="Offshore-Windpark Baltic 1" display="https://de.wikipedia.org/wiki/Offshore-Windpark_Baltic_1"/>
    <hyperlink ref="B33" r:id="rId7" tooltip="Offshore-Windpark Baltic 2" display="https://de.wikipedia.org/wiki/Offshore-Windpark_Baltic_2"/>
    <hyperlink ref="B34" r:id="rId8" tooltip="BARD Offshore 1" display="https://de.wikipedia.org/wiki/BARD_Offshore_1"/>
    <hyperlink ref="B35" r:id="rId9" tooltip="Offshore-Windpark Borkum Riffgrund" display="https://de.wikipedia.org/wiki/Offshore-Windpark_Borkum_Riffgrund"/>
    <hyperlink ref="B36" r:id="rId10" tooltip="Offshore-Windpark Borkum Riffgrund West" display="https://de.wikipedia.org/wiki/Offshore-Windpark_Borkum_Riffgrund_West"/>
    <hyperlink ref="B37" r:id="rId11" tooltip="Offshore-Windpark Butendiek" display="https://de.wikipedia.org/wiki/Offshore-Windpark_Butendiek"/>
    <hyperlink ref="B38" r:id="rId12" tooltip="Offshore-Windpark DanTysk" display="https://de.wikipedia.org/wiki/Offshore-Windpark_DanTysk"/>
    <hyperlink ref="B39" r:id="rId13" tooltip="Offshore-Windpark Delta Nordsee 1" display="https://de.wikipedia.org/wiki/Offshore-Windpark_Delta_Nordsee_1"/>
    <hyperlink ref="B40" r:id="rId14" tooltip="Offshore-Windpark Global Tech I" display="https://de.wikipedia.org/wiki/Offshore-Windpark_Global_Tech_I"/>
    <hyperlink ref="B41" r:id="rId15" tooltip="Offshore-Windpark Gode Wind I" display="https://de.wikipedia.org/wiki/Offshore-Windpark_Gode_Wind_I"/>
    <hyperlink ref="B42" r:id="rId16" tooltip="Offshore-Windpark Gode Wind II" display="https://de.wikipedia.org/wiki/Offshore-Windpark_Gode_Wind_II"/>
    <hyperlink ref="B43" r:id="rId17" tooltip="Offshore-Windpark He dreiht" display="https://de.wikipedia.org/wiki/Offshore-Windpark_He_dreiht"/>
    <hyperlink ref="B44" r:id="rId18" tooltip="Offshore-Windpark Hohe See" display="https://de.wikipedia.org/wiki/Offshore-Windpark_Hohe_See"/>
    <hyperlink ref="B45" r:id="rId19" tooltip="Offshore-Windpark Meerwind" display="https://de.wikipedia.org/wiki/Offshore-Windpark_Meerwind"/>
    <hyperlink ref="B46" r:id="rId20" tooltip="Offshore-Windpark Merkur" display="https://de.wikipedia.org/wiki/Offshore-Windpark_Merkur"/>
    <hyperlink ref="B47" r:id="rId21" tooltip="Offshore-Windpark Nordergründe" display="https://de.wikipedia.org/wiki/Offshore-Windpark_Nordergr%C3%BCnde"/>
    <hyperlink ref="B48" r:id="rId22" tooltip="Offshore-Windpark Nördlicher Grund" display="https://de.wikipedia.org/wiki/Offshore-Windpark_N%C3%B6rdlicher_Grund"/>
    <hyperlink ref="B49" r:id="rId23" tooltip="Offshore-Windpark Nordsee One" display="https://de.wikipedia.org/wiki/Offshore-Windpark_Nordsee_One"/>
    <hyperlink ref="B50" r:id="rId24" tooltip="Offshore-Windpark Nordsee Ost" display="https://de.wikipedia.org/wiki/Offshore-Windpark_Nordsee_Ost"/>
    <hyperlink ref="B51" r:id="rId25" tooltip="Offshore-Windpark Riffgat" display="https://de.wikipedia.org/wiki/Offshore-Windpark_Riffgat"/>
    <hyperlink ref="B52" r:id="rId26" tooltip="Offshore-Windpark Sandbank" display="https://de.wikipedia.org/wiki/Offshore-Windpark_Sandbank"/>
    <hyperlink ref="B53" r:id="rId27" tooltip="Trianel Windpark Borkum" display="https://de.wikipedia.org/wiki/Trianel_Windpark_Borkum"/>
    <hyperlink ref="B54" r:id="rId28" tooltip="Offshore-Windpark Veja Mate" display="https://de.wikipedia.org/wiki/Offshore-Windpark_Veja_Mate"/>
    <hyperlink ref="B55" r:id="rId29" tooltip="Offshore-Windpark Wikinger" display="https://de.wikipedia.org/wiki/Offshore-Windpark_Wikinger"/>
  </hyperlinks>
  <pageMargins left="0.7" right="0.7" top="0.78740157499999996" bottom="0.78740157499999996" header="0.3" footer="0.3"/>
  <pageSetup paperSize="9" orientation="portrait" horizontalDpi="0" verticalDpi="0" r:id="rId30"/>
  <legacyDrawing r:id="rId3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topLeftCell="B1" workbookViewId="0">
      <selection activeCell="B2" sqref="B2:F17"/>
    </sheetView>
  </sheetViews>
  <sheetFormatPr baseColWidth="10" defaultRowHeight="14.4"/>
  <cols>
    <col min="2" max="2" width="70.77734375" bestFit="1" customWidth="1"/>
    <col min="3" max="3" width="17.33203125" style="46" bestFit="1" customWidth="1"/>
    <col min="4" max="4" width="20.77734375" style="46" bestFit="1" customWidth="1"/>
    <col min="5" max="5" width="18.33203125" bestFit="1" customWidth="1"/>
  </cols>
  <sheetData>
    <row r="3" spans="2:6">
      <c r="B3" t="s">
        <v>317</v>
      </c>
      <c r="E3" s="1">
        <v>594700000000000</v>
      </c>
      <c r="F3" t="s">
        <v>276</v>
      </c>
    </row>
    <row r="4" spans="2:6">
      <c r="B4" t="s">
        <v>318</v>
      </c>
      <c r="E4" s="86">
        <f>+'Fakten und Zahlen'!K87*1000</f>
        <v>344000000000000</v>
      </c>
      <c r="F4" t="s">
        <v>276</v>
      </c>
    </row>
    <row r="5" spans="2:6" s="46" customFormat="1" ht="15" thickBot="1">
      <c r="B5" s="46" t="s">
        <v>319</v>
      </c>
      <c r="C5" s="4">
        <v>0.2</v>
      </c>
      <c r="E5" s="87">
        <f>+E4*-C5</f>
        <v>-68800000000000</v>
      </c>
      <c r="F5" s="46" t="s">
        <v>276</v>
      </c>
    </row>
    <row r="6" spans="2:6" ht="15" thickTop="1">
      <c r="B6" t="s">
        <v>253</v>
      </c>
      <c r="E6" s="84">
        <f>SUM(E3:E5)</f>
        <v>869900000000000</v>
      </c>
      <c r="F6" s="46" t="s">
        <v>276</v>
      </c>
    </row>
    <row r="7" spans="2:6" s="46" customFormat="1">
      <c r="E7" s="84"/>
    </row>
    <row r="8" spans="2:6" s="46" customFormat="1"/>
    <row r="9" spans="2:6">
      <c r="C9" s="46" t="s">
        <v>321</v>
      </c>
      <c r="D9" s="46" t="s">
        <v>322</v>
      </c>
    </row>
    <row r="10" spans="2:6">
      <c r="B10" t="s">
        <v>320</v>
      </c>
      <c r="C10" s="1">
        <f>+'Erneuerbare Energie'!C5</f>
        <v>41275000000000</v>
      </c>
      <c r="D10" s="1">
        <v>10</v>
      </c>
      <c r="E10" s="1">
        <f>+C10*D10</f>
        <v>412750000000000</v>
      </c>
      <c r="F10" s="46" t="s">
        <v>276</v>
      </c>
    </row>
    <row r="11" spans="2:6">
      <c r="B11" t="s">
        <v>182</v>
      </c>
      <c r="C11" s="1">
        <f>+'Erneuerbare Energie'!C6</f>
        <v>84613750000000.016</v>
      </c>
      <c r="D11" s="46">
        <v>3.5</v>
      </c>
      <c r="E11" s="1">
        <f>+C11*D11</f>
        <v>296148125000000.06</v>
      </c>
      <c r="F11" s="46" t="s">
        <v>276</v>
      </c>
    </row>
    <row r="12" spans="2:6">
      <c r="B12" t="s">
        <v>188</v>
      </c>
      <c r="C12" s="1">
        <f>+'Erneuerbare Energie'!C7</f>
        <v>68103750000000.008</v>
      </c>
      <c r="D12" s="46">
        <v>2</v>
      </c>
      <c r="E12" s="1">
        <f>+C12*D12</f>
        <v>136207500000000.02</v>
      </c>
      <c r="F12" s="46" t="s">
        <v>276</v>
      </c>
    </row>
    <row r="13" spans="2:6" ht="15" thickBot="1">
      <c r="B13" t="s">
        <v>187</v>
      </c>
      <c r="C13" s="1">
        <f>+'Erneuerbare Energie'!C8</f>
        <v>22013333333333.336</v>
      </c>
      <c r="D13" s="46">
        <v>1</v>
      </c>
      <c r="E13" s="85">
        <f>+C13*D13</f>
        <v>22013333333333.336</v>
      </c>
      <c r="F13" s="46" t="s">
        <v>276</v>
      </c>
    </row>
    <row r="14" spans="2:6" ht="15" thickTop="1">
      <c r="B14" t="s">
        <v>279</v>
      </c>
      <c r="E14" s="84">
        <f>SUM(E10:E13)</f>
        <v>867118958333333.38</v>
      </c>
      <c r="F14" s="46" t="s">
        <v>276</v>
      </c>
    </row>
    <row r="15" spans="2:6">
      <c r="E15" s="1"/>
    </row>
    <row r="16" spans="2:6">
      <c r="B16" t="s">
        <v>323</v>
      </c>
      <c r="E16" s="1">
        <f>+E6-E14</f>
        <v>2781041666666.625</v>
      </c>
      <c r="F16" t="s">
        <v>276</v>
      </c>
    </row>
    <row r="17" spans="5:5">
      <c r="E17" s="1"/>
    </row>
    <row r="18" spans="5:5">
      <c r="E18" s="1"/>
    </row>
    <row r="19" spans="5:5">
      <c r="E19" s="1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Aktueller Stand</vt:lpstr>
      <vt:lpstr>Umstellung Elektroautoantrieb</vt:lpstr>
      <vt:lpstr>Strombedarf Ladestationen Autob</vt:lpstr>
      <vt:lpstr>Umstellung Wasserstoff</vt:lpstr>
      <vt:lpstr>Fakten und Zahlen</vt:lpstr>
      <vt:lpstr>Energiegehalt Brennstoffe</vt:lpstr>
      <vt:lpstr>Erneuerbare Energie</vt:lpstr>
      <vt:lpstr>CO Freie Energieversorgung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</dc:creator>
  <cp:lastModifiedBy>Horst</cp:lastModifiedBy>
  <dcterms:created xsi:type="dcterms:W3CDTF">2017-11-01T10:47:05Z</dcterms:created>
  <dcterms:modified xsi:type="dcterms:W3CDTF">2018-07-31T20:28:26Z</dcterms:modified>
</cp:coreProperties>
</file>